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1"/>
  </bookViews>
  <sheets>
    <sheet name="PIGOO" sheetId="2" r:id="rId1"/>
    <sheet name="INDICADORES" sheetId="1" r:id="rId2"/>
    <sheet name="graficos" sheetId="3" r:id="rId3"/>
    <sheet name="INSTRUCTIVO" sheetId="4" r:id="rId4"/>
  </sheets>
  <externalReferences>
    <externalReference r:id="rId5"/>
    <externalReference r:id="rId6"/>
    <externalReference r:id="rId7"/>
  </externalReferences>
  <definedNames>
    <definedName name="Admin.">'[1]Gastos de Admin.'!$H$234</definedName>
    <definedName name="_xlnm.Extract">#REF!</definedName>
    <definedName name="_xlnm.Print_Area" localSheetId="1">INDICADORES!$A$1:$O$228</definedName>
    <definedName name="_xlnm.Print_Area" localSheetId="0">PIGOO!$A$1:$R$214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1"/>
  <c r="O53"/>
  <c r="O52"/>
  <c r="O14"/>
  <c r="N14"/>
  <c r="O8"/>
  <c r="N8"/>
  <c r="N30" i="2" l="1"/>
  <c r="N29"/>
  <c r="N28"/>
  <c r="N27"/>
  <c r="N26"/>
  <c r="N98" l="1"/>
  <c r="O19" i="1"/>
  <c r="O21" s="1"/>
  <c r="O27"/>
  <c r="O34"/>
  <c r="O36" s="1"/>
  <c r="O40"/>
  <c r="O42" s="1"/>
  <c r="O48"/>
  <c r="O61"/>
  <c r="O88" s="1"/>
  <c r="O69"/>
  <c r="O75"/>
  <c r="O81"/>
  <c r="O104"/>
  <c r="O115"/>
  <c r="O117" s="1"/>
  <c r="O158"/>
  <c r="O164"/>
  <c r="O162"/>
  <c r="O167"/>
  <c r="O183"/>
  <c r="O202"/>
  <c r="O197"/>
  <c r="O198" s="1"/>
  <c r="O205"/>
  <c r="O206" s="1"/>
  <c r="O63" l="1"/>
  <c r="N205"/>
  <c r="N206" s="1"/>
  <c r="N201"/>
  <c r="N202" s="1"/>
  <c r="N197"/>
  <c r="N198" s="1"/>
  <c r="N193"/>
  <c r="N183"/>
  <c r="N167"/>
  <c r="N164"/>
  <c r="N162"/>
  <c r="N158"/>
  <c r="N153"/>
  <c r="N150"/>
  <c r="N149"/>
  <c r="N148"/>
  <c r="N147"/>
  <c r="N144"/>
  <c r="N143"/>
  <c r="N142"/>
  <c r="N141"/>
  <c r="N138"/>
  <c r="N137"/>
  <c r="N136"/>
  <c r="N135"/>
  <c r="N132"/>
  <c r="N131"/>
  <c r="N130"/>
  <c r="N129"/>
  <c r="N126"/>
  <c r="N125"/>
  <c r="N124"/>
  <c r="N123"/>
  <c r="N115"/>
  <c r="N117" s="1"/>
  <c r="N112"/>
  <c r="N109"/>
  <c r="N111" s="1"/>
  <c r="N104"/>
  <c r="N81"/>
  <c r="N75"/>
  <c r="N69"/>
  <c r="N61"/>
  <c r="N63" s="1"/>
  <c r="N48"/>
  <c r="N40"/>
  <c r="N42" s="1"/>
  <c r="N34"/>
  <c r="N27"/>
  <c r="N19"/>
  <c r="O153"/>
  <c r="O150"/>
  <c r="O149"/>
  <c r="O147"/>
  <c r="O142"/>
  <c r="O141"/>
  <c r="O138"/>
  <c r="O137"/>
  <c r="O136"/>
  <c r="O135"/>
  <c r="O132"/>
  <c r="O131"/>
  <c r="O130"/>
  <c r="O129"/>
  <c r="O126"/>
  <c r="O125"/>
  <c r="O124"/>
  <c r="O123"/>
  <c r="N152" l="1"/>
  <c r="N21"/>
  <c r="N36"/>
  <c r="N88"/>
  <c r="O148"/>
  <c r="M205" l="1"/>
  <c r="M206" s="1"/>
  <c r="M201"/>
  <c r="M202" s="1"/>
  <c r="M197"/>
  <c r="M198" s="1"/>
  <c r="M193"/>
  <c r="M183"/>
  <c r="M167"/>
  <c r="M164"/>
  <c r="M162"/>
  <c r="M158"/>
  <c r="M153"/>
  <c r="M150"/>
  <c r="M149"/>
  <c r="M148" s="1"/>
  <c r="M147"/>
  <c r="M144"/>
  <c r="M143"/>
  <c r="M142" s="1"/>
  <c r="M141"/>
  <c r="M138"/>
  <c r="M137"/>
  <c r="M136" s="1"/>
  <c r="M135"/>
  <c r="M132"/>
  <c r="M131"/>
  <c r="M130" s="1"/>
  <c r="M129"/>
  <c r="M126"/>
  <c r="M125"/>
  <c r="M124" s="1"/>
  <c r="M123"/>
  <c r="M115"/>
  <c r="M117" s="1"/>
  <c r="M112"/>
  <c r="M109"/>
  <c r="M111" s="1"/>
  <c r="M104"/>
  <c r="M81"/>
  <c r="M75"/>
  <c r="M69"/>
  <c r="M61"/>
  <c r="M48"/>
  <c r="M40"/>
  <c r="M42" s="1"/>
  <c r="M34"/>
  <c r="M36" s="1"/>
  <c r="M27"/>
  <c r="M19"/>
  <c r="M21" s="1"/>
  <c r="L205"/>
  <c r="L206" s="1"/>
  <c r="L201"/>
  <c r="L202" s="1"/>
  <c r="L197"/>
  <c r="L198" s="1"/>
  <c r="L193"/>
  <c r="L183"/>
  <c r="L167"/>
  <c r="L164"/>
  <c r="L162"/>
  <c r="L158"/>
  <c r="L153"/>
  <c r="L150"/>
  <c r="L149"/>
  <c r="L147"/>
  <c r="L144"/>
  <c r="L143"/>
  <c r="L141"/>
  <c r="L138"/>
  <c r="L137"/>
  <c r="L136" s="1"/>
  <c r="L135"/>
  <c r="L132"/>
  <c r="L131"/>
  <c r="L129"/>
  <c r="L126"/>
  <c r="L125"/>
  <c r="L123"/>
  <c r="L117"/>
  <c r="L115"/>
  <c r="L112"/>
  <c r="L109"/>
  <c r="L104"/>
  <c r="L81"/>
  <c r="L75"/>
  <c r="L69"/>
  <c r="L61"/>
  <c r="L48"/>
  <c r="L40"/>
  <c r="L42" s="1"/>
  <c r="L34"/>
  <c r="L36" s="1"/>
  <c r="L27"/>
  <c r="L19"/>
  <c r="L21" s="1"/>
  <c r="L152" l="1"/>
  <c r="L142"/>
  <c r="L130"/>
  <c r="M63"/>
  <c r="L124"/>
  <c r="L148"/>
  <c r="M152"/>
  <c r="M88"/>
  <c r="L63"/>
  <c r="L111"/>
  <c r="L88"/>
  <c r="K167" l="1"/>
  <c r="J167"/>
  <c r="I167"/>
  <c r="H167"/>
  <c r="G167"/>
  <c r="K164"/>
  <c r="I158"/>
  <c r="K162"/>
  <c r="I25" i="2" l="1"/>
  <c r="K205" i="1" l="1"/>
  <c r="K206" s="1"/>
  <c r="K201"/>
  <c r="K202" s="1"/>
  <c r="K197"/>
  <c r="K198" s="1"/>
  <c r="K193"/>
  <c r="K183"/>
  <c r="K158"/>
  <c r="K153"/>
  <c r="K150"/>
  <c r="K149"/>
  <c r="K147"/>
  <c r="K144"/>
  <c r="K143"/>
  <c r="K141"/>
  <c r="K138"/>
  <c r="K137"/>
  <c r="K136" s="1"/>
  <c r="K135"/>
  <c r="K132"/>
  <c r="K131"/>
  <c r="K130" s="1"/>
  <c r="K129"/>
  <c r="K126"/>
  <c r="K125"/>
  <c r="K123"/>
  <c r="K115"/>
  <c r="K112"/>
  <c r="K104"/>
  <c r="K81"/>
  <c r="K75"/>
  <c r="K69"/>
  <c r="K61"/>
  <c r="K88" s="1"/>
  <c r="K48"/>
  <c r="K40"/>
  <c r="K42" s="1"/>
  <c r="K34"/>
  <c r="K36" s="1"/>
  <c r="K27"/>
  <c r="K19"/>
  <c r="K21" s="1"/>
  <c r="K142" l="1"/>
  <c r="K63"/>
  <c r="K124"/>
  <c r="K148"/>
  <c r="K117"/>
  <c r="J201"/>
  <c r="J202" s="1"/>
  <c r="J193"/>
  <c r="J34"/>
  <c r="J183" l="1"/>
  <c r="J180"/>
  <c r="J164"/>
  <c r="J162"/>
  <c r="J104"/>
  <c r="J81"/>
  <c r="J75"/>
  <c r="J69"/>
  <c r="J61"/>
  <c r="J63" s="1"/>
  <c r="J48"/>
  <c r="J40"/>
  <c r="J42" s="1"/>
  <c r="J36"/>
  <c r="J19"/>
  <c r="J21" s="1"/>
  <c r="J205"/>
  <c r="J206" s="1"/>
  <c r="J197"/>
  <c r="J198" s="1"/>
  <c r="J158"/>
  <c r="O109"/>
  <c r="K109"/>
  <c r="J109"/>
  <c r="I109"/>
  <c r="H109"/>
  <c r="G109"/>
  <c r="F109"/>
  <c r="E109"/>
  <c r="J153"/>
  <c r="J150"/>
  <c r="J149"/>
  <c r="J147"/>
  <c r="J144"/>
  <c r="J143"/>
  <c r="J142" s="1"/>
  <c r="J141"/>
  <c r="J138"/>
  <c r="J137"/>
  <c r="J135"/>
  <c r="J132"/>
  <c r="J131"/>
  <c r="J129"/>
  <c r="J126"/>
  <c r="J125"/>
  <c r="J123"/>
  <c r="J115"/>
  <c r="J112"/>
  <c r="J111"/>
  <c r="J88"/>
  <c r="J27"/>
  <c r="J136" l="1"/>
  <c r="O152"/>
  <c r="K111"/>
  <c r="K152"/>
  <c r="J130"/>
  <c r="J152"/>
  <c r="J117"/>
  <c r="J124"/>
  <c r="J148"/>
  <c r="H44" i="2" l="1"/>
  <c r="H45"/>
  <c r="F174" l="1"/>
  <c r="E174"/>
  <c r="D174"/>
  <c r="I19" i="1" l="1"/>
  <c r="I205"/>
  <c r="I206" s="1"/>
  <c r="I202"/>
  <c r="I197"/>
  <c r="I198" s="1"/>
  <c r="I194"/>
  <c r="I183"/>
  <c r="I180"/>
  <c r="I164"/>
  <c r="I162"/>
  <c r="I153"/>
  <c r="I150"/>
  <c r="I149"/>
  <c r="I148" s="1"/>
  <c r="I147"/>
  <c r="I144"/>
  <c r="I143"/>
  <c r="I141"/>
  <c r="I138"/>
  <c r="I137"/>
  <c r="I135"/>
  <c r="I132"/>
  <c r="I131"/>
  <c r="I129"/>
  <c r="I126"/>
  <c r="I125"/>
  <c r="I124" s="1"/>
  <c r="I123"/>
  <c r="I115"/>
  <c r="I117" s="1"/>
  <c r="I112"/>
  <c r="I111"/>
  <c r="I104"/>
  <c r="I81"/>
  <c r="I75"/>
  <c r="I69"/>
  <c r="I61"/>
  <c r="I88" s="1"/>
  <c r="I48"/>
  <c r="I40"/>
  <c r="I42" s="1"/>
  <c r="I34"/>
  <c r="I36" s="1"/>
  <c r="I27"/>
  <c r="H205"/>
  <c r="H206" s="1"/>
  <c r="H202"/>
  <c r="H197"/>
  <c r="H198" s="1"/>
  <c r="H194"/>
  <c r="H183"/>
  <c r="H180"/>
  <c r="H164"/>
  <c r="H162"/>
  <c r="H158"/>
  <c r="H153"/>
  <c r="H150"/>
  <c r="H149"/>
  <c r="H147"/>
  <c r="H144"/>
  <c r="H143"/>
  <c r="H141"/>
  <c r="H138"/>
  <c r="H137"/>
  <c r="H135"/>
  <c r="H132"/>
  <c r="H131"/>
  <c r="H129"/>
  <c r="H126"/>
  <c r="H125"/>
  <c r="H123"/>
  <c r="H115"/>
  <c r="H117" s="1"/>
  <c r="H112"/>
  <c r="H111"/>
  <c r="H104"/>
  <c r="H81"/>
  <c r="H75"/>
  <c r="H69"/>
  <c r="H61"/>
  <c r="H48"/>
  <c r="H40"/>
  <c r="H42" s="1"/>
  <c r="H34"/>
  <c r="H36" s="1"/>
  <c r="H27"/>
  <c r="H19"/>
  <c r="H21" s="1"/>
  <c r="H124" l="1"/>
  <c r="H148"/>
  <c r="I63"/>
  <c r="I142"/>
  <c r="H142"/>
  <c r="I130"/>
  <c r="I136"/>
  <c r="H136"/>
  <c r="H130"/>
  <c r="I21"/>
  <c r="I152"/>
  <c r="H63"/>
  <c r="H152"/>
  <c r="H88"/>
  <c r="E187" i="2" l="1"/>
  <c r="E186" s="1"/>
  <c r="E153"/>
  <c r="E139"/>
  <c r="E132"/>
  <c r="E131" s="1"/>
  <c r="E119"/>
  <c r="E113"/>
  <c r="E100"/>
  <c r="E93"/>
  <c r="G55" i="1" s="1"/>
  <c r="G57" s="1"/>
  <c r="E90" i="2"/>
  <c r="E80"/>
  <c r="E72"/>
  <c r="G13" i="1" s="1"/>
  <c r="G151" s="1"/>
  <c r="E66" i="2"/>
  <c r="G7" i="1" s="1"/>
  <c r="E57" i="2"/>
  <c r="G154" i="1" s="1"/>
  <c r="E52" i="2"/>
  <c r="G159" i="1" s="1"/>
  <c r="E42" i="2"/>
  <c r="E35"/>
  <c r="G215" i="1" s="1"/>
  <c r="E25" i="2"/>
  <c r="E22" s="1"/>
  <c r="E13"/>
  <c r="E12" s="1"/>
  <c r="G205" i="1"/>
  <c r="G206" s="1"/>
  <c r="G202"/>
  <c r="G197"/>
  <c r="G198" s="1"/>
  <c r="G194"/>
  <c r="G183"/>
  <c r="G180"/>
  <c r="G164"/>
  <c r="G162"/>
  <c r="G158"/>
  <c r="G153"/>
  <c r="G150"/>
  <c r="G149"/>
  <c r="G147"/>
  <c r="G144"/>
  <c r="G143"/>
  <c r="G141"/>
  <c r="G138"/>
  <c r="G137"/>
  <c r="G135"/>
  <c r="G132"/>
  <c r="G131"/>
  <c r="G129"/>
  <c r="G126"/>
  <c r="G125"/>
  <c r="G123"/>
  <c r="G115"/>
  <c r="G117" s="1"/>
  <c r="G112"/>
  <c r="G111"/>
  <c r="G104"/>
  <c r="G81"/>
  <c r="G75"/>
  <c r="G69"/>
  <c r="G61"/>
  <c r="G88" s="1"/>
  <c r="G48"/>
  <c r="G40"/>
  <c r="G42" s="1"/>
  <c r="G34"/>
  <c r="G36" s="1"/>
  <c r="G27"/>
  <c r="G19"/>
  <c r="G21" s="1"/>
  <c r="F197"/>
  <c r="G130" l="1"/>
  <c r="G148"/>
  <c r="E21" i="2"/>
  <c r="G142" i="1"/>
  <c r="G124"/>
  <c r="G136"/>
  <c r="E112" i="2"/>
  <c r="E169" s="1"/>
  <c r="G160" i="1"/>
  <c r="E11" i="2"/>
  <c r="E33" s="1"/>
  <c r="E39" s="1"/>
  <c r="G161" i="1"/>
  <c r="G9"/>
  <c r="G31"/>
  <c r="G52"/>
  <c r="G63"/>
  <c r="G91"/>
  <c r="G97"/>
  <c r="G15"/>
  <c r="G95"/>
  <c r="G85"/>
  <c r="G152"/>
  <c r="G157"/>
  <c r="E204" i="2" l="1"/>
  <c r="G172" i="1" s="1"/>
  <c r="G171"/>
  <c r="G179" s="1"/>
  <c r="E128" i="2"/>
  <c r="F167" i="1"/>
  <c r="E167"/>
  <c r="E162"/>
  <c r="E164"/>
  <c r="F164"/>
  <c r="F165" s="1"/>
  <c r="G165" s="1"/>
  <c r="H165" s="1"/>
  <c r="I165" s="1"/>
  <c r="J165" s="1"/>
  <c r="K165" s="1"/>
  <c r="L165" s="1"/>
  <c r="M165" s="1"/>
  <c r="N165" s="1"/>
  <c r="O165" s="1"/>
  <c r="F162"/>
  <c r="F163" s="1"/>
  <c r="G163" s="1"/>
  <c r="H163" s="1"/>
  <c r="I163" s="1"/>
  <c r="J163" s="1"/>
  <c r="K163" s="1"/>
  <c r="L163" s="1"/>
  <c r="M163" s="1"/>
  <c r="N163" s="1"/>
  <c r="O163" s="1"/>
  <c r="G173" l="1"/>
  <c r="G182"/>
  <c r="G169"/>
  <c r="G170" s="1"/>
  <c r="G214"/>
  <c r="G213"/>
  <c r="G175"/>
  <c r="G177"/>
  <c r="F205"/>
  <c r="F206" s="1"/>
  <c r="F202"/>
  <c r="F198"/>
  <c r="F194"/>
  <c r="F183"/>
  <c r="F180"/>
  <c r="F158"/>
  <c r="F153"/>
  <c r="F150"/>
  <c r="F149"/>
  <c r="F147"/>
  <c r="F144"/>
  <c r="F143"/>
  <c r="F141"/>
  <c r="F138"/>
  <c r="F137"/>
  <c r="F135"/>
  <c r="F132"/>
  <c r="F131"/>
  <c r="F129"/>
  <c r="F126"/>
  <c r="F125"/>
  <c r="F123"/>
  <c r="F115"/>
  <c r="F152" s="1"/>
  <c r="F112"/>
  <c r="F111"/>
  <c r="F104"/>
  <c r="F81"/>
  <c r="F75"/>
  <c r="F69"/>
  <c r="F61"/>
  <c r="F88" s="1"/>
  <c r="F48"/>
  <c r="F40"/>
  <c r="F42" s="1"/>
  <c r="F34"/>
  <c r="F36" s="1"/>
  <c r="F27"/>
  <c r="F19"/>
  <c r="F21" s="1"/>
  <c r="F124" l="1"/>
  <c r="F142"/>
  <c r="F130"/>
  <c r="F117"/>
  <c r="F136"/>
  <c r="F148"/>
  <c r="F63"/>
  <c r="D15" i="2"/>
  <c r="D14"/>
  <c r="E190" i="1"/>
  <c r="E183"/>
  <c r="E180"/>
  <c r="E61"/>
  <c r="E40"/>
  <c r="E34"/>
  <c r="E19"/>
  <c r="E210" l="1"/>
  <c r="E208"/>
  <c r="E205"/>
  <c r="E206" s="1"/>
  <c r="E199"/>
  <c r="E197"/>
  <c r="E198" s="1"/>
  <c r="E191"/>
  <c r="E158"/>
  <c r="E153"/>
  <c r="E147"/>
  <c r="E141"/>
  <c r="E135"/>
  <c r="E129"/>
  <c r="E123"/>
  <c r="E115"/>
  <c r="E111"/>
  <c r="E104"/>
  <c r="E81"/>
  <c r="E75"/>
  <c r="E69"/>
  <c r="E63"/>
  <c r="E48"/>
  <c r="E42"/>
  <c r="E36"/>
  <c r="E27"/>
  <c r="E21"/>
  <c r="E212" l="1"/>
  <c r="E201"/>
  <c r="E202" s="1"/>
  <c r="E211"/>
  <c r="E88"/>
  <c r="E152"/>
  <c r="E117"/>
  <c r="E193"/>
  <c r="E194" s="1"/>
  <c r="B153" i="2" l="1"/>
  <c r="B160" l="1"/>
  <c r="B159"/>
  <c r="N105" l="1"/>
  <c r="N104"/>
  <c r="N103"/>
  <c r="N102"/>
  <c r="N101"/>
  <c r="N49"/>
  <c r="N48"/>
  <c r="N47"/>
  <c r="N46"/>
  <c r="N45"/>
  <c r="N43"/>
  <c r="N55" l="1"/>
  <c r="N60"/>
  <c r="N67"/>
  <c r="N58" l="1"/>
  <c r="N53"/>
  <c r="N96" l="1"/>
  <c r="N75"/>
  <c r="I93" l="1"/>
  <c r="K55" i="1" s="1"/>
  <c r="H25" i="2"/>
  <c r="H22" s="1"/>
  <c r="K57" i="1" l="1"/>
  <c r="K85"/>
  <c r="K91"/>
  <c r="H93" i="2"/>
  <c r="J55" i="1" s="1"/>
  <c r="J85" l="1"/>
  <c r="J57"/>
  <c r="J91"/>
  <c r="C25" i="2"/>
  <c r="C22" s="1"/>
  <c r="D25"/>
  <c r="D22" s="1"/>
  <c r="F25"/>
  <c r="F22" s="1"/>
  <c r="G25"/>
  <c r="G22" s="1"/>
  <c r="I22"/>
  <c r="J25"/>
  <c r="J22" s="1"/>
  <c r="K25"/>
  <c r="K22" s="1"/>
  <c r="L25"/>
  <c r="L22" s="1"/>
  <c r="M25"/>
  <c r="M22" s="1"/>
  <c r="D104" i="1" l="1"/>
  <c r="N44" i="2" l="1"/>
  <c r="N42" s="1"/>
  <c r="B25"/>
  <c r="B22" s="1"/>
  <c r="N94" l="1"/>
  <c r="N97"/>
  <c r="N95"/>
  <c r="N73"/>
  <c r="N77"/>
  <c r="N76"/>
  <c r="N74"/>
  <c r="C187"/>
  <c r="C186" s="1"/>
  <c r="D187"/>
  <c r="D186" s="1"/>
  <c r="G187"/>
  <c r="G186" s="1"/>
  <c r="I187"/>
  <c r="I186" s="1"/>
  <c r="J187"/>
  <c r="J186" s="1"/>
  <c r="K187"/>
  <c r="K186" s="1"/>
  <c r="L187"/>
  <c r="L186" s="1"/>
  <c r="M187"/>
  <c r="M186" s="1"/>
  <c r="B90"/>
  <c r="C139"/>
  <c r="D139"/>
  <c r="F139"/>
  <c r="G139"/>
  <c r="H139"/>
  <c r="I139"/>
  <c r="J139"/>
  <c r="K139"/>
  <c r="L139"/>
  <c r="M139"/>
  <c r="C132"/>
  <c r="C131" s="1"/>
  <c r="D132"/>
  <c r="D131" s="1"/>
  <c r="F132"/>
  <c r="F131" s="1"/>
  <c r="G132"/>
  <c r="G131" s="1"/>
  <c r="H132"/>
  <c r="H131" s="1"/>
  <c r="I132"/>
  <c r="I131" s="1"/>
  <c r="J132"/>
  <c r="J131" s="1"/>
  <c r="K132"/>
  <c r="K131" s="1"/>
  <c r="L132"/>
  <c r="L131" s="1"/>
  <c r="M132"/>
  <c r="M131" s="1"/>
  <c r="C119"/>
  <c r="D119"/>
  <c r="F119"/>
  <c r="G119"/>
  <c r="H119"/>
  <c r="I119"/>
  <c r="J119"/>
  <c r="K119"/>
  <c r="L119"/>
  <c r="M119"/>
  <c r="C113"/>
  <c r="D113"/>
  <c r="F113"/>
  <c r="G113"/>
  <c r="H113"/>
  <c r="I113"/>
  <c r="J113"/>
  <c r="K113"/>
  <c r="L113"/>
  <c r="M113"/>
  <c r="D100"/>
  <c r="F100"/>
  <c r="G100"/>
  <c r="H100"/>
  <c r="I100"/>
  <c r="J100"/>
  <c r="K100"/>
  <c r="L100"/>
  <c r="M100"/>
  <c r="B100"/>
  <c r="C93"/>
  <c r="E55" i="1" s="1"/>
  <c r="D93" i="2"/>
  <c r="F55" i="1" s="1"/>
  <c r="F93" i="2"/>
  <c r="H55" i="1" s="1"/>
  <c r="G93" i="2"/>
  <c r="I55" i="1" s="1"/>
  <c r="J93" i="2"/>
  <c r="L55" i="1" s="1"/>
  <c r="K93" i="2"/>
  <c r="M55" i="1" s="1"/>
  <c r="L93" i="2"/>
  <c r="N55" i="1" s="1"/>
  <c r="M93" i="2"/>
  <c r="O55" i="1" s="1"/>
  <c r="C80" i="2"/>
  <c r="D80"/>
  <c r="F80"/>
  <c r="G80"/>
  <c r="H80"/>
  <c r="I80"/>
  <c r="J80"/>
  <c r="K80"/>
  <c r="L80"/>
  <c r="M80"/>
  <c r="C72"/>
  <c r="E13" i="1" s="1"/>
  <c r="D72" i="2"/>
  <c r="F13" i="1" s="1"/>
  <c r="F72" i="2"/>
  <c r="H13" i="1" s="1"/>
  <c r="G72" i="2"/>
  <c r="I13" i="1" s="1"/>
  <c r="H72" i="2"/>
  <c r="J13" i="1" s="1"/>
  <c r="I72" i="2"/>
  <c r="K13" i="1" s="1"/>
  <c r="K97" s="1"/>
  <c r="J72" i="2"/>
  <c r="L13" i="1" s="1"/>
  <c r="K72" i="2"/>
  <c r="M13" i="1" s="1"/>
  <c r="L72" i="2"/>
  <c r="M72"/>
  <c r="C66"/>
  <c r="E7" i="1" s="1"/>
  <c r="D66" i="2"/>
  <c r="F7" i="1" s="1"/>
  <c r="F66" i="2"/>
  <c r="H7" i="1" s="1"/>
  <c r="G66" i="2"/>
  <c r="I7" i="1" s="1"/>
  <c r="H66" i="2"/>
  <c r="J7" i="1" s="1"/>
  <c r="I66" i="2"/>
  <c r="K7" i="1" s="1"/>
  <c r="J66" i="2"/>
  <c r="L7" i="1" s="1"/>
  <c r="K66" i="2"/>
  <c r="M7" i="1" s="1"/>
  <c r="L66" i="2"/>
  <c r="M66"/>
  <c r="C52"/>
  <c r="E159" i="1" s="1"/>
  <c r="D52" i="2"/>
  <c r="F159" i="1" s="1"/>
  <c r="F52" i="2"/>
  <c r="H159" i="1" s="1"/>
  <c r="G52" i="2"/>
  <c r="I159" i="1" s="1"/>
  <c r="I161" s="1"/>
  <c r="H52" i="2"/>
  <c r="J159" i="1" s="1"/>
  <c r="J161" s="1"/>
  <c r="I52" i="2"/>
  <c r="K159" i="1" s="1"/>
  <c r="J52" i="2"/>
  <c r="L159" i="1" s="1"/>
  <c r="K52" i="2"/>
  <c r="M159" i="1" s="1"/>
  <c r="L52" i="2"/>
  <c r="N159" i="1" s="1"/>
  <c r="M52" i="2"/>
  <c r="O159" i="1" s="1"/>
  <c r="C42" i="2"/>
  <c r="D42"/>
  <c r="F42"/>
  <c r="G42"/>
  <c r="H42"/>
  <c r="I42"/>
  <c r="J42"/>
  <c r="K42"/>
  <c r="L42"/>
  <c r="M42"/>
  <c r="B42"/>
  <c r="C35"/>
  <c r="D35"/>
  <c r="F35"/>
  <c r="G35"/>
  <c r="H35"/>
  <c r="I35"/>
  <c r="J35"/>
  <c r="K35"/>
  <c r="L35"/>
  <c r="M35"/>
  <c r="B35"/>
  <c r="B21" s="1"/>
  <c r="C13"/>
  <c r="C12" s="1"/>
  <c r="C11" s="1"/>
  <c r="C33" s="1"/>
  <c r="D13"/>
  <c r="D12" s="1"/>
  <c r="F13"/>
  <c r="F12" s="1"/>
  <c r="F11" s="1"/>
  <c r="F33" s="1"/>
  <c r="G13"/>
  <c r="G12" s="1"/>
  <c r="G11" s="1"/>
  <c r="G33" s="1"/>
  <c r="H13"/>
  <c r="H12" s="1"/>
  <c r="H11" s="1"/>
  <c r="H33" s="1"/>
  <c r="I13"/>
  <c r="I12" s="1"/>
  <c r="I11" s="1"/>
  <c r="I33" s="1"/>
  <c r="J13"/>
  <c r="J12" s="1"/>
  <c r="J11" s="1"/>
  <c r="J33" s="1"/>
  <c r="K13"/>
  <c r="K12" s="1"/>
  <c r="K11" s="1"/>
  <c r="K33" s="1"/>
  <c r="L13"/>
  <c r="M13"/>
  <c r="B13"/>
  <c r="B12" s="1"/>
  <c r="B11" s="1"/>
  <c r="B33" s="1"/>
  <c r="O160" i="1" l="1"/>
  <c r="O15"/>
  <c r="O31"/>
  <c r="O97"/>
  <c r="O151"/>
  <c r="O85"/>
  <c r="O57"/>
  <c r="O91"/>
  <c r="N160"/>
  <c r="N85"/>
  <c r="N91"/>
  <c r="N57"/>
  <c r="M21" i="2"/>
  <c r="O215" i="1"/>
  <c r="N9"/>
  <c r="N95"/>
  <c r="L11" i="2"/>
  <c r="L33" s="1"/>
  <c r="L39" s="1"/>
  <c r="L12"/>
  <c r="N97" i="1"/>
  <c r="N31"/>
  <c r="N15"/>
  <c r="N52"/>
  <c r="N151"/>
  <c r="O95"/>
  <c r="O9"/>
  <c r="M12" i="2"/>
  <c r="M11" s="1"/>
  <c r="M33" s="1"/>
  <c r="M39" s="1"/>
  <c r="L21"/>
  <c r="N215" i="1"/>
  <c r="L85"/>
  <c r="L57"/>
  <c r="L91"/>
  <c r="K21" i="2"/>
  <c r="M215" i="1"/>
  <c r="L97"/>
  <c r="L15"/>
  <c r="L52"/>
  <c r="L151"/>
  <c r="M97"/>
  <c r="M52"/>
  <c r="M15"/>
  <c r="M151"/>
  <c r="M57"/>
  <c r="M85"/>
  <c r="M91"/>
  <c r="M9"/>
  <c r="M160"/>
  <c r="M95"/>
  <c r="M31"/>
  <c r="L9"/>
  <c r="L95"/>
  <c r="L160"/>
  <c r="L31"/>
  <c r="J21" i="2"/>
  <c r="L215" i="1"/>
  <c r="K15"/>
  <c r="K52"/>
  <c r="K151"/>
  <c r="K95"/>
  <c r="K31"/>
  <c r="K9"/>
  <c r="K160"/>
  <c r="I21" i="2"/>
  <c r="K215" i="1"/>
  <c r="J97"/>
  <c r="J52"/>
  <c r="J15"/>
  <c r="J151"/>
  <c r="H21" i="2"/>
  <c r="J215" i="1"/>
  <c r="J160"/>
  <c r="J157"/>
  <c r="J9"/>
  <c r="J95"/>
  <c r="J31"/>
  <c r="H57"/>
  <c r="H85"/>
  <c r="H91"/>
  <c r="F21" i="2"/>
  <c r="H215" i="1"/>
  <c r="I151"/>
  <c r="I97"/>
  <c r="I15"/>
  <c r="I52"/>
  <c r="H95"/>
  <c r="H9"/>
  <c r="G39" i="2"/>
  <c r="H160" i="1"/>
  <c r="H97"/>
  <c r="H151"/>
  <c r="H31"/>
  <c r="H52"/>
  <c r="H15"/>
  <c r="I57"/>
  <c r="I85"/>
  <c r="I91"/>
  <c r="I157"/>
  <c r="I160"/>
  <c r="I9"/>
  <c r="I95"/>
  <c r="I31"/>
  <c r="G21" i="2"/>
  <c r="I215" i="1"/>
  <c r="F160"/>
  <c r="B39" i="2"/>
  <c r="H39"/>
  <c r="E160" i="1"/>
  <c r="C21" i="2"/>
  <c r="E215" i="1"/>
  <c r="F97"/>
  <c r="F31"/>
  <c r="F15"/>
  <c r="F151"/>
  <c r="F52"/>
  <c r="F9"/>
  <c r="F95"/>
  <c r="F57"/>
  <c r="F85"/>
  <c r="F91"/>
  <c r="D21" i="2"/>
  <c r="F215" i="1"/>
  <c r="D19" i="2"/>
  <c r="D11" s="1"/>
  <c r="D33" s="1"/>
  <c r="D39" s="1"/>
  <c r="E95" i="1"/>
  <c r="E9"/>
  <c r="E97"/>
  <c r="E15"/>
  <c r="E31"/>
  <c r="E52"/>
  <c r="E151"/>
  <c r="E85"/>
  <c r="E57"/>
  <c r="E91"/>
  <c r="M112" i="2"/>
  <c r="O171" i="1" s="1"/>
  <c r="G112" i="2"/>
  <c r="F112"/>
  <c r="C39"/>
  <c r="I39"/>
  <c r="K39"/>
  <c r="B93"/>
  <c r="J39"/>
  <c r="F39"/>
  <c r="K112"/>
  <c r="M171" i="1" s="1"/>
  <c r="C112" i="2"/>
  <c r="J112"/>
  <c r="L171" i="1" s="1"/>
  <c r="L112" i="2"/>
  <c r="N171" i="1" s="1"/>
  <c r="H112" i="2"/>
  <c r="J171" i="1" s="1"/>
  <c r="D112" i="2"/>
  <c r="F171" i="1" s="1"/>
  <c r="I112" i="2"/>
  <c r="K171" i="1" s="1"/>
  <c r="D190"/>
  <c r="D90" i="2"/>
  <c r="F90"/>
  <c r="G90"/>
  <c r="H90"/>
  <c r="I90"/>
  <c r="J90"/>
  <c r="K90"/>
  <c r="L90"/>
  <c r="M90"/>
  <c r="C90"/>
  <c r="O213" i="1" l="1"/>
  <c r="O175"/>
  <c r="O214"/>
  <c r="O182"/>
  <c r="O179"/>
  <c r="O177"/>
  <c r="N214"/>
  <c r="N175"/>
  <c r="N213"/>
  <c r="N182"/>
  <c r="N177"/>
  <c r="N179"/>
  <c r="L213"/>
  <c r="L179"/>
  <c r="L175"/>
  <c r="L182"/>
  <c r="L214"/>
  <c r="L177"/>
  <c r="M214"/>
  <c r="M213"/>
  <c r="M175"/>
  <c r="M179"/>
  <c r="M177"/>
  <c r="M182"/>
  <c r="K177"/>
  <c r="K214"/>
  <c r="K213"/>
  <c r="K182"/>
  <c r="K179"/>
  <c r="K175"/>
  <c r="J177"/>
  <c r="J179"/>
  <c r="J213"/>
  <c r="J175"/>
  <c r="J214"/>
  <c r="J182"/>
  <c r="H171"/>
  <c r="H179" s="1"/>
  <c r="F204" i="2"/>
  <c r="I171" i="1"/>
  <c r="I182" s="1"/>
  <c r="G204" i="2"/>
  <c r="H213" i="1"/>
  <c r="H177"/>
  <c r="H214"/>
  <c r="F177"/>
  <c r="F179"/>
  <c r="F213"/>
  <c r="F214"/>
  <c r="F182"/>
  <c r="F175"/>
  <c r="D204" i="2"/>
  <c r="D169"/>
  <c r="L204"/>
  <c r="L169"/>
  <c r="F169"/>
  <c r="M128"/>
  <c r="M169"/>
  <c r="I169"/>
  <c r="I204"/>
  <c r="H204"/>
  <c r="H169"/>
  <c r="J204"/>
  <c r="J169"/>
  <c r="K169"/>
  <c r="K204"/>
  <c r="G169"/>
  <c r="C204"/>
  <c r="E171" i="1"/>
  <c r="C169" i="2"/>
  <c r="M203" i="3"/>
  <c r="M202"/>
  <c r="D153" i="1"/>
  <c r="D109"/>
  <c r="D115"/>
  <c r="C94" i="3"/>
  <c r="D94"/>
  <c r="E94"/>
  <c r="F94"/>
  <c r="G94"/>
  <c r="H94"/>
  <c r="I94"/>
  <c r="J94"/>
  <c r="K94"/>
  <c r="L94"/>
  <c r="M94"/>
  <c r="C95"/>
  <c r="D95"/>
  <c r="E95"/>
  <c r="F95"/>
  <c r="G95"/>
  <c r="H95"/>
  <c r="I95"/>
  <c r="J95"/>
  <c r="K95"/>
  <c r="L95"/>
  <c r="M95"/>
  <c r="C96"/>
  <c r="D96"/>
  <c r="E96"/>
  <c r="F96"/>
  <c r="G96"/>
  <c r="H96"/>
  <c r="I96"/>
  <c r="J96"/>
  <c r="K96"/>
  <c r="L96"/>
  <c r="M96"/>
  <c r="C97"/>
  <c r="D97"/>
  <c r="E97"/>
  <c r="F97"/>
  <c r="G97"/>
  <c r="H97"/>
  <c r="I97"/>
  <c r="J97"/>
  <c r="K97"/>
  <c r="L97"/>
  <c r="M97"/>
  <c r="B97"/>
  <c r="B96"/>
  <c r="B95"/>
  <c r="B94"/>
  <c r="E120"/>
  <c r="F57" i="2"/>
  <c r="H154" i="1" s="1"/>
  <c r="G57" i="2"/>
  <c r="H57"/>
  <c r="I57"/>
  <c r="K154" i="1" s="1"/>
  <c r="J57" i="2"/>
  <c r="L154" i="1" s="1"/>
  <c r="K57" i="2"/>
  <c r="M154" i="1" s="1"/>
  <c r="L57" i="2"/>
  <c r="N154" i="1" s="1"/>
  <c r="M57" i="2"/>
  <c r="O154" i="1" s="1"/>
  <c r="O161" l="1"/>
  <c r="O157"/>
  <c r="H182"/>
  <c r="O169"/>
  <c r="O170" s="1"/>
  <c r="O172"/>
  <c r="N157"/>
  <c r="N161"/>
  <c r="H175"/>
  <c r="N172"/>
  <c r="N169"/>
  <c r="N170" s="1"/>
  <c r="L161"/>
  <c r="L157"/>
  <c r="I213"/>
  <c r="L172"/>
  <c r="L169"/>
  <c r="L170" s="1"/>
  <c r="M172"/>
  <c r="M169"/>
  <c r="M170" s="1"/>
  <c r="M157"/>
  <c r="M161"/>
  <c r="K161"/>
  <c r="K157"/>
  <c r="K172"/>
  <c r="K169"/>
  <c r="K170" s="1"/>
  <c r="I214"/>
  <c r="I179"/>
  <c r="I175"/>
  <c r="I177"/>
  <c r="J169"/>
  <c r="J170" s="1"/>
  <c r="J172"/>
  <c r="I172"/>
  <c r="I169"/>
  <c r="I170" s="1"/>
  <c r="H161"/>
  <c r="H157"/>
  <c r="H172"/>
  <c r="H169"/>
  <c r="H170" s="1"/>
  <c r="F172"/>
  <c r="F169"/>
  <c r="F170" s="1"/>
  <c r="E169"/>
  <c r="E170" s="1"/>
  <c r="E172"/>
  <c r="E214"/>
  <c r="E182"/>
  <c r="E179"/>
  <c r="E177"/>
  <c r="E175"/>
  <c r="E213"/>
  <c r="D152"/>
  <c r="D215"/>
  <c r="D203"/>
  <c r="D199"/>
  <c r="D195"/>
  <c r="D191"/>
  <c r="D183"/>
  <c r="D180"/>
  <c r="E119" i="3"/>
  <c r="J119"/>
  <c r="M119"/>
  <c r="D121"/>
  <c r="E121"/>
  <c r="H121"/>
  <c r="D167" i="1"/>
  <c r="D164"/>
  <c r="D162"/>
  <c r="B187" i="2"/>
  <c r="B186" s="1"/>
  <c r="C174"/>
  <c r="K153"/>
  <c r="I153"/>
  <c r="H153"/>
  <c r="D153"/>
  <c r="C153"/>
  <c r="B139"/>
  <c r="R133"/>
  <c r="R132" s="1"/>
  <c r="Q133"/>
  <c r="Q132" s="1"/>
  <c r="P133"/>
  <c r="P132" s="1"/>
  <c r="O133"/>
  <c r="O132" s="1"/>
  <c r="N133"/>
  <c r="N132" s="1"/>
  <c r="B132"/>
  <c r="B131" s="1"/>
  <c r="B119"/>
  <c r="D128"/>
  <c r="B113"/>
  <c r="L128"/>
  <c r="J128"/>
  <c r="H128"/>
  <c r="G128"/>
  <c r="C128"/>
  <c r="C100"/>
  <c r="N82"/>
  <c r="N81"/>
  <c r="B80"/>
  <c r="C202" i="3"/>
  <c r="B66" i="2"/>
  <c r="D7" i="1" s="1"/>
  <c r="D57" i="2"/>
  <c r="F154" i="1" s="1"/>
  <c r="C57" i="2"/>
  <c r="E154" i="1" s="1"/>
  <c r="B57" i="2"/>
  <c r="D154" i="1" s="1"/>
  <c r="N52" i="2"/>
  <c r="B52"/>
  <c r="D159" i="1" s="1"/>
  <c r="N40" i="2"/>
  <c r="N38"/>
  <c r="N37"/>
  <c r="N36"/>
  <c r="C203" i="3"/>
  <c r="N34" i="2"/>
  <c r="O25"/>
  <c r="O22" s="1"/>
  <c r="N24"/>
  <c r="N23"/>
  <c r="R20"/>
  <c r="P35" s="1"/>
  <c r="N19"/>
  <c r="N15"/>
  <c r="N14"/>
  <c r="O13"/>
  <c r="O12" s="1"/>
  <c r="M121" i="3" l="1"/>
  <c r="J121"/>
  <c r="O173" i="1"/>
  <c r="M120" i="3"/>
  <c r="L121"/>
  <c r="N173" i="1"/>
  <c r="L120" i="3"/>
  <c r="K121"/>
  <c r="L173" i="1"/>
  <c r="J120" i="3"/>
  <c r="M173" i="1"/>
  <c r="K120" i="3"/>
  <c r="K173" i="1"/>
  <c r="I120" i="3"/>
  <c r="I121"/>
  <c r="J173" i="1"/>
  <c r="H120" i="3"/>
  <c r="F121"/>
  <c r="G121"/>
  <c r="H173" i="1"/>
  <c r="F120" i="3"/>
  <c r="I173" i="1"/>
  <c r="G120" i="3"/>
  <c r="F173" i="1"/>
  <c r="D120" i="3"/>
  <c r="F157" i="1"/>
  <c r="F161"/>
  <c r="E173"/>
  <c r="C120" i="3"/>
  <c r="E157" i="1"/>
  <c r="E161"/>
  <c r="C121" i="3"/>
  <c r="N57" i="2"/>
  <c r="N66"/>
  <c r="O11"/>
  <c r="O33" s="1"/>
  <c r="O39" s="1"/>
  <c r="B112"/>
  <c r="K128"/>
  <c r="K119" i="3"/>
  <c r="I128" i="2"/>
  <c r="I119" i="3"/>
  <c r="F128" i="2"/>
  <c r="F119" i="3"/>
  <c r="G119"/>
  <c r="C119"/>
  <c r="L119"/>
  <c r="H119"/>
  <c r="D119"/>
  <c r="N72" i="2"/>
  <c r="L201" i="3"/>
  <c r="K202"/>
  <c r="N25" i="2"/>
  <c r="N22" s="1"/>
  <c r="H203" i="3"/>
  <c r="H202"/>
  <c r="D203"/>
  <c r="D202"/>
  <c r="G203"/>
  <c r="G202"/>
  <c r="F203"/>
  <c r="F202"/>
  <c r="L203"/>
  <c r="L202"/>
  <c r="I203"/>
  <c r="I202"/>
  <c r="B203"/>
  <c r="B202"/>
  <c r="P34" i="2"/>
  <c r="Q34" s="1"/>
  <c r="R34" s="1"/>
  <c r="C201" i="3"/>
  <c r="N35" i="2"/>
  <c r="Q35" s="1"/>
  <c r="R35" s="1"/>
  <c r="M201" i="3"/>
  <c r="K201"/>
  <c r="J201"/>
  <c r="I201"/>
  <c r="H201"/>
  <c r="G201"/>
  <c r="F201"/>
  <c r="E201"/>
  <c r="D201"/>
  <c r="N80" i="2"/>
  <c r="N13"/>
  <c r="B72"/>
  <c r="D151" i="1" s="1"/>
  <c r="P23" i="2"/>
  <c r="Q23" s="1"/>
  <c r="P16"/>
  <c r="Q16" s="1"/>
  <c r="R16" s="1"/>
  <c r="P19"/>
  <c r="Q19" s="1"/>
  <c r="R19" s="1"/>
  <c r="P29"/>
  <c r="Q29" s="1"/>
  <c r="O40"/>
  <c r="P30"/>
  <c r="Q30" s="1"/>
  <c r="P24"/>
  <c r="Q24" s="1"/>
  <c r="R24" s="1"/>
  <c r="P14"/>
  <c r="P17"/>
  <c r="Q17" s="1"/>
  <c r="R17" s="1"/>
  <c r="P26"/>
  <c r="P27"/>
  <c r="Q27" s="1"/>
  <c r="R27" s="1"/>
  <c r="P15"/>
  <c r="Q15" s="1"/>
  <c r="R15" s="1"/>
  <c r="B204" l="1"/>
  <c r="D169" i="1" s="1"/>
  <c r="B121" i="3" s="1"/>
  <c r="B169" i="2"/>
  <c r="K203" i="3"/>
  <c r="P40" i="2"/>
  <c r="Q40" s="1"/>
  <c r="B128"/>
  <c r="D171" i="1"/>
  <c r="B119" i="3" s="1"/>
  <c r="B201"/>
  <c r="N21" i="2"/>
  <c r="E203" i="3"/>
  <c r="E202"/>
  <c r="J203"/>
  <c r="J202"/>
  <c r="P13" i="2"/>
  <c r="Q13" s="1"/>
  <c r="R13" s="1"/>
  <c r="P18"/>
  <c r="Q18" s="1"/>
  <c r="R23"/>
  <c r="N12"/>
  <c r="N11" s="1"/>
  <c r="Q14"/>
  <c r="R14" s="1"/>
  <c r="P25"/>
  <c r="Q25" s="1"/>
  <c r="R25" s="1"/>
  <c r="Q26"/>
  <c r="D172" i="1" l="1"/>
  <c r="B120" i="3" s="1"/>
  <c r="P12" i="2"/>
  <c r="P11" s="1"/>
  <c r="P22"/>
  <c r="Q12" l="1"/>
  <c r="R12" s="1"/>
  <c r="P21"/>
  <c r="Q21" s="1"/>
  <c r="R21" s="1"/>
  <c r="Q22"/>
  <c r="R22" s="1"/>
  <c r="N33"/>
  <c r="Q11"/>
  <c r="R11" s="1"/>
  <c r="P33"/>
  <c r="P39" s="1"/>
  <c r="N39" l="1"/>
  <c r="Q39" s="1"/>
  <c r="Q33"/>
  <c r="R33" s="1"/>
  <c r="C177" i="3" l="1"/>
  <c r="D177"/>
  <c r="E177"/>
  <c r="F177"/>
  <c r="G177"/>
  <c r="H177"/>
  <c r="I177"/>
  <c r="J177"/>
  <c r="K177"/>
  <c r="L177"/>
  <c r="M177"/>
  <c r="D160" i="1"/>
  <c r="B177" i="3" s="1"/>
  <c r="I98"/>
  <c r="G98"/>
  <c r="C98"/>
  <c r="B98"/>
  <c r="M98"/>
  <c r="L98"/>
  <c r="K98"/>
  <c r="J98"/>
  <c r="H98"/>
  <c r="F98"/>
  <c r="E98"/>
  <c r="D98"/>
  <c r="C47"/>
  <c r="D47"/>
  <c r="E47"/>
  <c r="F47"/>
  <c r="G47"/>
  <c r="H47"/>
  <c r="I47"/>
  <c r="J47"/>
  <c r="K47"/>
  <c r="L47"/>
  <c r="M47"/>
  <c r="D91" i="1"/>
  <c r="B47" i="3" s="1"/>
  <c r="D78" i="1"/>
  <c r="E78" s="1"/>
  <c r="F78" s="1"/>
  <c r="G78" s="1"/>
  <c r="H78" s="1"/>
  <c r="I78" s="1"/>
  <c r="J78" s="1"/>
  <c r="K78" s="1"/>
  <c r="L78" s="1"/>
  <c r="M78" s="1"/>
  <c r="N78" s="1"/>
  <c r="O78" s="1"/>
  <c r="D77"/>
  <c r="E77" s="1"/>
  <c r="F77" s="1"/>
  <c r="D75"/>
  <c r="D45"/>
  <c r="E45" s="1"/>
  <c r="F45" s="1"/>
  <c r="G45" s="1"/>
  <c r="H45" s="1"/>
  <c r="I45" s="1"/>
  <c r="J45" s="1"/>
  <c r="K45" s="1"/>
  <c r="L45" s="1"/>
  <c r="M45" s="1"/>
  <c r="N45" s="1"/>
  <c r="O45" s="1"/>
  <c r="D44"/>
  <c r="E44" s="1"/>
  <c r="F44" s="1"/>
  <c r="D42"/>
  <c r="D51"/>
  <c r="E51" s="1"/>
  <c r="F51" s="1"/>
  <c r="G51" s="1"/>
  <c r="H51" s="1"/>
  <c r="I51" s="1"/>
  <c r="J51" s="1"/>
  <c r="K51" s="1"/>
  <c r="L51" s="1"/>
  <c r="M51" s="1"/>
  <c r="N51" s="1"/>
  <c r="O51" s="1"/>
  <c r="D50"/>
  <c r="E50" s="1"/>
  <c r="F50" s="1"/>
  <c r="D39"/>
  <c r="E39" s="1"/>
  <c r="F39" s="1"/>
  <c r="D38"/>
  <c r="E38" s="1"/>
  <c r="F38" s="1"/>
  <c r="C70" i="3"/>
  <c r="D70"/>
  <c r="E70"/>
  <c r="F70"/>
  <c r="G70"/>
  <c r="H70"/>
  <c r="I70"/>
  <c r="J70"/>
  <c r="K70"/>
  <c r="L70"/>
  <c r="M70"/>
  <c r="D97" i="1"/>
  <c r="B70" i="3" s="1"/>
  <c r="C69"/>
  <c r="D69"/>
  <c r="E69"/>
  <c r="F69"/>
  <c r="G69"/>
  <c r="H69"/>
  <c r="I69"/>
  <c r="J69"/>
  <c r="K69"/>
  <c r="L69"/>
  <c r="M69"/>
  <c r="D95" i="1"/>
  <c r="B69" i="3" s="1"/>
  <c r="C4"/>
  <c r="D4"/>
  <c r="E4"/>
  <c r="F4"/>
  <c r="G4"/>
  <c r="H4"/>
  <c r="I4"/>
  <c r="J4"/>
  <c r="K4"/>
  <c r="L4"/>
  <c r="M4"/>
  <c r="D31" i="1"/>
  <c r="B4" i="3" s="1"/>
  <c r="D24" i="1"/>
  <c r="E24" s="1"/>
  <c r="F24" s="1"/>
  <c r="G24" s="1"/>
  <c r="H24" s="1"/>
  <c r="I24" s="1"/>
  <c r="J24" s="1"/>
  <c r="K24" s="1"/>
  <c r="L24" s="1"/>
  <c r="M24" s="1"/>
  <c r="N24" s="1"/>
  <c r="O24" s="1"/>
  <c r="D23"/>
  <c r="E23" s="1"/>
  <c r="D21"/>
  <c r="G39" l="1"/>
  <c r="H39" s="1"/>
  <c r="G44"/>
  <c r="F43"/>
  <c r="G38"/>
  <c r="H38" s="1"/>
  <c r="F37"/>
  <c r="G77"/>
  <c r="F76"/>
  <c r="E22"/>
  <c r="F23"/>
  <c r="F49"/>
  <c r="G50"/>
  <c r="E76"/>
  <c r="E49"/>
  <c r="E37"/>
  <c r="E43"/>
  <c r="D43"/>
  <c r="D76"/>
  <c r="D22"/>
  <c r="I38" l="1"/>
  <c r="J38" s="1"/>
  <c r="K38" s="1"/>
  <c r="L38" s="1"/>
  <c r="H37"/>
  <c r="G49"/>
  <c r="H50"/>
  <c r="G76"/>
  <c r="H77"/>
  <c r="G43"/>
  <c r="H44"/>
  <c r="I39"/>
  <c r="J39" s="1"/>
  <c r="K39" s="1"/>
  <c r="G37"/>
  <c r="G23"/>
  <c r="F22"/>
  <c r="K176" i="3"/>
  <c r="L176"/>
  <c r="M176"/>
  <c r="K37" i="1" l="1"/>
  <c r="L39"/>
  <c r="M38"/>
  <c r="N38" s="1"/>
  <c r="J37"/>
  <c r="I77"/>
  <c r="H76"/>
  <c r="G22"/>
  <c r="H23"/>
  <c r="H43"/>
  <c r="I44"/>
  <c r="I50"/>
  <c r="H49"/>
  <c r="I37"/>
  <c r="I176" i="3"/>
  <c r="J176"/>
  <c r="O38" i="1" l="1"/>
  <c r="M39"/>
  <c r="N39" s="1"/>
  <c r="N37" s="1"/>
  <c r="L37"/>
  <c r="I76"/>
  <c r="J77"/>
  <c r="I49"/>
  <c r="J50"/>
  <c r="I43"/>
  <c r="J44"/>
  <c r="H22"/>
  <c r="I23"/>
  <c r="C176" i="3"/>
  <c r="D176"/>
  <c r="E176"/>
  <c r="F176"/>
  <c r="G176"/>
  <c r="H176"/>
  <c r="D161" i="1"/>
  <c r="B176" i="3" s="1"/>
  <c r="O39" i="1" l="1"/>
  <c r="O37" s="1"/>
  <c r="M37"/>
  <c r="J76"/>
  <c r="K77"/>
  <c r="J49"/>
  <c r="K50"/>
  <c r="J43"/>
  <c r="K44"/>
  <c r="I22"/>
  <c r="J23"/>
  <c r="D168"/>
  <c r="E168" s="1"/>
  <c r="F168" s="1"/>
  <c r="G168" s="1"/>
  <c r="H168" s="1"/>
  <c r="I168" s="1"/>
  <c r="J168" s="1"/>
  <c r="K168" s="1"/>
  <c r="L168" s="1"/>
  <c r="M168" s="1"/>
  <c r="N168" s="1"/>
  <c r="O168" s="1"/>
  <c r="K43" l="1"/>
  <c r="L44"/>
  <c r="K76"/>
  <c r="L77"/>
  <c r="K49"/>
  <c r="L50"/>
  <c r="J22"/>
  <c r="K23"/>
  <c r="C25" i="3"/>
  <c r="D25"/>
  <c r="E25"/>
  <c r="F25"/>
  <c r="G25"/>
  <c r="H25"/>
  <c r="I25"/>
  <c r="J25"/>
  <c r="K25"/>
  <c r="L25"/>
  <c r="M25"/>
  <c r="D52" i="1"/>
  <c r="B25" i="3" s="1"/>
  <c r="D49" i="1"/>
  <c r="D48"/>
  <c r="D37"/>
  <c r="D36"/>
  <c r="M77" l="1"/>
  <c r="L76"/>
  <c r="L49"/>
  <c r="M50"/>
  <c r="L43"/>
  <c r="M44"/>
  <c r="K22"/>
  <c r="L23"/>
  <c r="D189"/>
  <c r="E189" s="1"/>
  <c r="F189" s="1"/>
  <c r="G189" s="1"/>
  <c r="H189" s="1"/>
  <c r="I189" s="1"/>
  <c r="J189" s="1"/>
  <c r="K189" s="1"/>
  <c r="L189" s="1"/>
  <c r="M189" s="1"/>
  <c r="N189" s="1"/>
  <c r="O189" s="1"/>
  <c r="D170"/>
  <c r="D114"/>
  <c r="E114" s="1"/>
  <c r="D113"/>
  <c r="E113" s="1"/>
  <c r="D12"/>
  <c r="E12" s="1"/>
  <c r="F12" s="1"/>
  <c r="G12" s="1"/>
  <c r="H12" s="1"/>
  <c r="I12" s="1"/>
  <c r="J12" s="1"/>
  <c r="K12" s="1"/>
  <c r="L12" s="1"/>
  <c r="M12" s="1"/>
  <c r="N12" s="1"/>
  <c r="O12" s="1"/>
  <c r="D11"/>
  <c r="E11" s="1"/>
  <c r="F11" s="1"/>
  <c r="G11" s="1"/>
  <c r="H11" s="1"/>
  <c r="D182"/>
  <c r="M49" l="1"/>
  <c r="N50"/>
  <c r="M43"/>
  <c r="N44"/>
  <c r="M76"/>
  <c r="N77"/>
  <c r="M23"/>
  <c r="L22"/>
  <c r="H10"/>
  <c r="I11"/>
  <c r="G10"/>
  <c r="F10"/>
  <c r="E10"/>
  <c r="E112"/>
  <c r="D10"/>
  <c r="O50" l="1"/>
  <c r="O49" s="1"/>
  <c r="N49"/>
  <c r="N43"/>
  <c r="O44"/>
  <c r="O43" s="1"/>
  <c r="M22"/>
  <c r="N23"/>
  <c r="O77"/>
  <c r="O76" s="1"/>
  <c r="N76"/>
  <c r="I10"/>
  <c r="J11"/>
  <c r="D144"/>
  <c r="E144" s="1"/>
  <c r="D143"/>
  <c r="E143" s="1"/>
  <c r="D132"/>
  <c r="E132" s="1"/>
  <c r="D131"/>
  <c r="E131" s="1"/>
  <c r="D126"/>
  <c r="E126" s="1"/>
  <c r="D125"/>
  <c r="E125" s="1"/>
  <c r="D120"/>
  <c r="E120" s="1"/>
  <c r="F120" s="1"/>
  <c r="G120" s="1"/>
  <c r="H120" s="1"/>
  <c r="I120" s="1"/>
  <c r="J120" s="1"/>
  <c r="K120" s="1"/>
  <c r="L120" s="1"/>
  <c r="M120" s="1"/>
  <c r="N120" s="1"/>
  <c r="O120" s="1"/>
  <c r="D119"/>
  <c r="E119" s="1"/>
  <c r="F119" s="1"/>
  <c r="D84"/>
  <c r="E84" s="1"/>
  <c r="F84" s="1"/>
  <c r="G84" s="1"/>
  <c r="H84" s="1"/>
  <c r="D83"/>
  <c r="E83" s="1"/>
  <c r="F83" s="1"/>
  <c r="D72"/>
  <c r="E72" s="1"/>
  <c r="F72" s="1"/>
  <c r="D71"/>
  <c r="E71" s="1"/>
  <c r="F71" s="1"/>
  <c r="D66"/>
  <c r="E66" s="1"/>
  <c r="F66" s="1"/>
  <c r="D65"/>
  <c r="E65" s="1"/>
  <c r="F65" s="1"/>
  <c r="D59"/>
  <c r="E59" s="1"/>
  <c r="F59" s="1"/>
  <c r="N22" l="1"/>
  <c r="O23"/>
  <c r="O22" s="1"/>
  <c r="J10"/>
  <c r="K11"/>
  <c r="I84"/>
  <c r="J84" s="1"/>
  <c r="K84" s="1"/>
  <c r="L84" s="1"/>
  <c r="F82"/>
  <c r="G83"/>
  <c r="H83" s="1"/>
  <c r="F89"/>
  <c r="F90"/>
  <c r="G66"/>
  <c r="F64"/>
  <c r="G65"/>
  <c r="H65" s="1"/>
  <c r="G59"/>
  <c r="H59" s="1"/>
  <c r="G72"/>
  <c r="H72" s="1"/>
  <c r="F70"/>
  <c r="G71"/>
  <c r="H71" s="1"/>
  <c r="F92"/>
  <c r="F86"/>
  <c r="F118"/>
  <c r="G119"/>
  <c r="E142"/>
  <c r="E124"/>
  <c r="E118"/>
  <c r="E130"/>
  <c r="E64"/>
  <c r="E86"/>
  <c r="E70"/>
  <c r="E92"/>
  <c r="E89"/>
  <c r="E82"/>
  <c r="E90"/>
  <c r="D92"/>
  <c r="E175" i="3"/>
  <c r="D175"/>
  <c r="C175"/>
  <c r="D158" i="1"/>
  <c r="D157"/>
  <c r="B175" i="3" s="1"/>
  <c r="D156" i="1"/>
  <c r="E156" s="1"/>
  <c r="F156" s="1"/>
  <c r="G156" s="1"/>
  <c r="H156" s="1"/>
  <c r="I156" s="1"/>
  <c r="J156" s="1"/>
  <c r="K156" s="1"/>
  <c r="L156" s="1"/>
  <c r="M156" s="1"/>
  <c r="N156" s="1"/>
  <c r="O156" s="1"/>
  <c r="D112"/>
  <c r="D111"/>
  <c r="D9"/>
  <c r="M84" l="1"/>
  <c r="N84" s="1"/>
  <c r="K10"/>
  <c r="L11"/>
  <c r="I83"/>
  <c r="J83" s="1"/>
  <c r="K83" s="1"/>
  <c r="L83" s="1"/>
  <c r="H82"/>
  <c r="H89"/>
  <c r="I72"/>
  <c r="J72" s="1"/>
  <c r="K72" s="1"/>
  <c r="L72" s="1"/>
  <c r="G90"/>
  <c r="H66"/>
  <c r="I59"/>
  <c r="J59" s="1"/>
  <c r="K59" s="1"/>
  <c r="L59" s="1"/>
  <c r="G118"/>
  <c r="H119"/>
  <c r="I71"/>
  <c r="J71" s="1"/>
  <c r="K71" s="1"/>
  <c r="L71" s="1"/>
  <c r="H70"/>
  <c r="H86"/>
  <c r="H92"/>
  <c r="I65"/>
  <c r="J65" s="1"/>
  <c r="K65" s="1"/>
  <c r="L65" s="1"/>
  <c r="G70"/>
  <c r="G86"/>
  <c r="G92"/>
  <c r="G89"/>
  <c r="G82"/>
  <c r="G64"/>
  <c r="D210"/>
  <c r="D209"/>
  <c r="D208"/>
  <c r="M145" i="3"/>
  <c r="L145"/>
  <c r="K145"/>
  <c r="I145"/>
  <c r="H145"/>
  <c r="G145"/>
  <c r="F145"/>
  <c r="E145"/>
  <c r="D145"/>
  <c r="C145"/>
  <c r="D207" i="1"/>
  <c r="D214" s="1"/>
  <c r="B145" i="3" s="1"/>
  <c r="D205" i="1"/>
  <c r="D206" s="1"/>
  <c r="D201"/>
  <c r="D202" s="1"/>
  <c r="D197"/>
  <c r="D198" s="1"/>
  <c r="D193"/>
  <c r="D194" s="1"/>
  <c r="D186"/>
  <c r="E186" s="1"/>
  <c r="F186" s="1"/>
  <c r="G186" s="1"/>
  <c r="H186" s="1"/>
  <c r="I186" s="1"/>
  <c r="J186" s="1"/>
  <c r="K186" s="1"/>
  <c r="L186" s="1"/>
  <c r="M186" s="1"/>
  <c r="N186" s="1"/>
  <c r="O186" s="1"/>
  <c r="D179"/>
  <c r="D177"/>
  <c r="D175"/>
  <c r="D173"/>
  <c r="D165"/>
  <c r="E165" s="1"/>
  <c r="D163"/>
  <c r="E163" s="1"/>
  <c r="M175" i="3"/>
  <c r="L175"/>
  <c r="K175"/>
  <c r="J175"/>
  <c r="I175"/>
  <c r="G175"/>
  <c r="F175"/>
  <c r="D150" i="1"/>
  <c r="E150" s="1"/>
  <c r="D149"/>
  <c r="E149" s="1"/>
  <c r="D147"/>
  <c r="D142"/>
  <c r="D141"/>
  <c r="D138"/>
  <c r="E138" s="1"/>
  <c r="D137"/>
  <c r="E137" s="1"/>
  <c r="D135"/>
  <c r="D130"/>
  <c r="D129"/>
  <c r="D124"/>
  <c r="D123"/>
  <c r="D118"/>
  <c r="D117"/>
  <c r="D90"/>
  <c r="D89"/>
  <c r="D88"/>
  <c r="D86"/>
  <c r="D85"/>
  <c r="D82"/>
  <c r="D81"/>
  <c r="D70"/>
  <c r="D64"/>
  <c r="D63"/>
  <c r="D60"/>
  <c r="D57"/>
  <c r="D30"/>
  <c r="E30" s="1"/>
  <c r="F30" s="1"/>
  <c r="G30" s="1"/>
  <c r="H30" s="1"/>
  <c r="I30" s="1"/>
  <c r="J30" s="1"/>
  <c r="K30" s="1"/>
  <c r="L30" s="1"/>
  <c r="M30" s="1"/>
  <c r="N30" s="1"/>
  <c r="D29"/>
  <c r="E29" s="1"/>
  <c r="F29" s="1"/>
  <c r="D27"/>
  <c r="D18"/>
  <c r="E18" s="1"/>
  <c r="F18" s="1"/>
  <c r="D17"/>
  <c r="E17" s="1"/>
  <c r="F17" s="1"/>
  <c r="D15"/>
  <c r="O30" l="1"/>
  <c r="O84"/>
  <c r="M72"/>
  <c r="N72" s="1"/>
  <c r="M11"/>
  <c r="L10"/>
  <c r="M59"/>
  <c r="N59" s="1"/>
  <c r="M65"/>
  <c r="N65" s="1"/>
  <c r="O65" s="1"/>
  <c r="M71"/>
  <c r="N71" s="1"/>
  <c r="L70"/>
  <c r="L86"/>
  <c r="L92"/>
  <c r="M83"/>
  <c r="N83" s="1"/>
  <c r="L82"/>
  <c r="L89"/>
  <c r="K92"/>
  <c r="K70"/>
  <c r="K86"/>
  <c r="K89"/>
  <c r="K82"/>
  <c r="J70"/>
  <c r="J92"/>
  <c r="J86"/>
  <c r="J82"/>
  <c r="J89"/>
  <c r="I66"/>
  <c r="H90"/>
  <c r="H64"/>
  <c r="I70"/>
  <c r="I86"/>
  <c r="I92"/>
  <c r="H118"/>
  <c r="I119"/>
  <c r="I82"/>
  <c r="I89"/>
  <c r="F28"/>
  <c r="G29"/>
  <c r="G17"/>
  <c r="H17" s="1"/>
  <c r="F53"/>
  <c r="F32"/>
  <c r="F16"/>
  <c r="G18"/>
  <c r="H18" s="1"/>
  <c r="F33"/>
  <c r="F54"/>
  <c r="E148"/>
  <c r="E28"/>
  <c r="E33"/>
  <c r="E54"/>
  <c r="E16"/>
  <c r="E32"/>
  <c r="E53"/>
  <c r="D93"/>
  <c r="E60"/>
  <c r="F60" s="1"/>
  <c r="E136"/>
  <c r="E166"/>
  <c r="D33"/>
  <c r="D53"/>
  <c r="D32"/>
  <c r="D54"/>
  <c r="D58"/>
  <c r="D212"/>
  <c r="D148"/>
  <c r="J145" i="3"/>
  <c r="D136" i="1"/>
  <c r="D16"/>
  <c r="D28"/>
  <c r="D211"/>
  <c r="D213" s="1"/>
  <c r="D87"/>
  <c r="D166"/>
  <c r="O59" l="1"/>
  <c r="N89"/>
  <c r="O83"/>
  <c r="O89" s="1"/>
  <c r="N82"/>
  <c r="N92"/>
  <c r="O71"/>
  <c r="N70"/>
  <c r="N86"/>
  <c r="M10"/>
  <c r="N11"/>
  <c r="O72"/>
  <c r="M82"/>
  <c r="M89"/>
  <c r="M70"/>
  <c r="M92"/>
  <c r="M86"/>
  <c r="I90"/>
  <c r="J66"/>
  <c r="K66" s="1"/>
  <c r="L66" s="1"/>
  <c r="I118"/>
  <c r="J119"/>
  <c r="I64"/>
  <c r="H33"/>
  <c r="I18"/>
  <c r="J18" s="1"/>
  <c r="K18" s="1"/>
  <c r="L18" s="1"/>
  <c r="H54"/>
  <c r="I17"/>
  <c r="J17" s="1"/>
  <c r="K17" s="1"/>
  <c r="L17" s="1"/>
  <c r="H16"/>
  <c r="H53"/>
  <c r="G28"/>
  <c r="H29"/>
  <c r="F93"/>
  <c r="G60"/>
  <c r="H60" s="1"/>
  <c r="F87"/>
  <c r="F58"/>
  <c r="G16"/>
  <c r="G32"/>
  <c r="G53"/>
  <c r="G33"/>
  <c r="G54"/>
  <c r="E93"/>
  <c r="E87"/>
  <c r="E58"/>
  <c r="H175" i="3"/>
  <c r="N10" i="1" l="1"/>
  <c r="O11"/>
  <c r="O10" s="1"/>
  <c r="O92"/>
  <c r="O86"/>
  <c r="O70"/>
  <c r="O82"/>
  <c r="M18"/>
  <c r="N18" s="1"/>
  <c r="L33"/>
  <c r="L54"/>
  <c r="M66"/>
  <c r="N66" s="1"/>
  <c r="L90"/>
  <c r="L64"/>
  <c r="M17"/>
  <c r="N17" s="1"/>
  <c r="L16"/>
  <c r="L53"/>
  <c r="J118"/>
  <c r="K119"/>
  <c r="K54"/>
  <c r="K33"/>
  <c r="K64"/>
  <c r="K90"/>
  <c r="K16"/>
  <c r="K53"/>
  <c r="J33"/>
  <c r="J54"/>
  <c r="J90"/>
  <c r="J64"/>
  <c r="J16"/>
  <c r="J53"/>
  <c r="I53"/>
  <c r="I16"/>
  <c r="I60"/>
  <c r="J60" s="1"/>
  <c r="K60" s="1"/>
  <c r="L60" s="1"/>
  <c r="H87"/>
  <c r="H58"/>
  <c r="H93"/>
  <c r="I33"/>
  <c r="I54"/>
  <c r="H28"/>
  <c r="I29"/>
  <c r="H32"/>
  <c r="G87"/>
  <c r="G93"/>
  <c r="G58"/>
  <c r="D216"/>
  <c r="E216" s="1"/>
  <c r="F216" s="1"/>
  <c r="G216" s="1"/>
  <c r="H216" s="1"/>
  <c r="I216" s="1"/>
  <c r="J216" s="1"/>
  <c r="K216" s="1"/>
  <c r="L216" s="1"/>
  <c r="M216" s="1"/>
  <c r="N216" s="1"/>
  <c r="O216" s="1"/>
  <c r="N64" l="1"/>
  <c r="O66"/>
  <c r="N90"/>
  <c r="O17"/>
  <c r="N53"/>
  <c r="N16"/>
  <c r="O18"/>
  <c r="O33" s="1"/>
  <c r="N33"/>
  <c r="N54"/>
  <c r="M60"/>
  <c r="N60" s="1"/>
  <c r="L87"/>
  <c r="L58"/>
  <c r="M90"/>
  <c r="M64"/>
  <c r="L93"/>
  <c r="M16"/>
  <c r="M53"/>
  <c r="K118"/>
  <c r="L119"/>
  <c r="M33"/>
  <c r="M54"/>
  <c r="K58"/>
  <c r="K87"/>
  <c r="K93"/>
  <c r="J58"/>
  <c r="J87"/>
  <c r="I28"/>
  <c r="J29"/>
  <c r="K29" s="1"/>
  <c r="L29" s="1"/>
  <c r="J93"/>
  <c r="I32"/>
  <c r="I58"/>
  <c r="I93"/>
  <c r="I87"/>
  <c r="O60" l="1"/>
  <c r="N87"/>
  <c r="N58"/>
  <c r="N93"/>
  <c r="O16"/>
  <c r="O90"/>
  <c r="O64"/>
  <c r="O93"/>
  <c r="M93"/>
  <c r="L118"/>
  <c r="M119"/>
  <c r="N119" s="1"/>
  <c r="L28"/>
  <c r="M29"/>
  <c r="N29" s="1"/>
  <c r="L32"/>
  <c r="M58"/>
  <c r="M87"/>
  <c r="K28"/>
  <c r="K32"/>
  <c r="J28"/>
  <c r="J32"/>
  <c r="O29" l="1"/>
  <c r="N28"/>
  <c r="N32"/>
  <c r="O119"/>
  <c r="O118" s="1"/>
  <c r="N118"/>
  <c r="O58"/>
  <c r="O87"/>
  <c r="M118"/>
  <c r="M28"/>
  <c r="M32"/>
  <c r="O28" l="1"/>
  <c r="O32"/>
</calcChain>
</file>

<file path=xl/sharedStrings.xml><?xml version="1.0" encoding="utf-8"?>
<sst xmlns="http://schemas.openxmlformats.org/spreadsheetml/2006/main" count="666" uniqueCount="337">
  <si>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</si>
  <si>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</si>
  <si>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</si>
  <si>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</si>
  <si>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</si>
  <si>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</si>
  <si>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</si>
  <si>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</si>
  <si>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</si>
  <si>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</si>
  <si>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</si>
  <si>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</si>
  <si>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</si>
  <si>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</si>
  <si>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</t>
    </r>
    <r>
      <rPr>
        <b/>
        <vertAlign val="superscript"/>
        <sz val="20"/>
        <color theme="1"/>
        <rFont val="Calibri"/>
        <family val="2"/>
        <scheme val="minor"/>
      </rPr>
      <t>3</t>
    </r>
  </si>
  <si>
    <t xml:space="preserve">Volumen Producido (Alumbrado)         </t>
  </si>
  <si>
    <t>Acumulado 2018</t>
  </si>
  <si>
    <t xml:space="preserve">Volumen  TOTAL Facturado                </t>
  </si>
  <si>
    <t>Volumen Facturado al Sector Público                  M3</t>
  </si>
  <si>
    <t>Eficiencia Física</t>
  </si>
  <si>
    <t>Mensual</t>
  </si>
  <si>
    <t>$</t>
  </si>
  <si>
    <t xml:space="preserve">Importe Cobrado al sector público </t>
  </si>
  <si>
    <t>Eficiencia Comercial</t>
  </si>
  <si>
    <t xml:space="preserve">Volumen de Agua Tratada                        </t>
  </si>
  <si>
    <t xml:space="preserve"> </t>
  </si>
  <si>
    <t xml:space="preserve">Volumen de Agua Tratada Facturado </t>
  </si>
  <si>
    <t xml:space="preserve">Volumen de Agua Tratada Facturada al Sector Público       </t>
  </si>
  <si>
    <t xml:space="preserve">Importe facturado de agua tratada excepto sector público </t>
  </si>
  <si>
    <t>Importe facturado de agua tratada al sector público</t>
  </si>
  <si>
    <t>Importe Cobrado de agua tratada al todos menos sector publico</t>
  </si>
  <si>
    <t>Importe  cobrado e agua tratada al sector público</t>
  </si>
  <si>
    <t>Indice de agua tratada</t>
  </si>
  <si>
    <t>Volumen tratado / Volumen facturado  (Agua Potable)</t>
  </si>
  <si>
    <t>Volumen Tratado Facturado / Volumen Tratado TOTAL</t>
  </si>
  <si>
    <t>Datos Comerciales</t>
  </si>
  <si>
    <t>Eficiencia de corte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</si>
  <si>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</si>
  <si>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</si>
  <si>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</si>
  <si>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</si>
  <si>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</si>
  <si>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</si>
  <si>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</si>
  <si>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</si>
  <si>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</si>
  <si>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% de tomas con medidor y cobrando cuota fija.</t>
  </si>
  <si>
    <t>Importe de IVA recuperado en el mes (ya depositado)</t>
  </si>
  <si>
    <t xml:space="preserve">Importe de IVA por recuperar 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</si>
  <si>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</si>
  <si>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</si>
  <si>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</si>
  <si>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>Reducción en número</t>
  </si>
  <si>
    <t>Reducción en porcentaje</t>
  </si>
  <si>
    <t>Número de empleados de confianza activos</t>
  </si>
  <si>
    <t>Al cierre del mes</t>
  </si>
  <si>
    <t>Número de empleados sindicalizados pensionados o jubilados</t>
  </si>
  <si>
    <t>Número de empleados de confianza pensionados o jubilados</t>
  </si>
  <si>
    <t xml:space="preserve">Número de empleados cada mil tomas </t>
  </si>
  <si>
    <t>Con Pensionados y jubilados</t>
  </si>
  <si>
    <t>Sin pensionados y jubilados</t>
  </si>
  <si>
    <t xml:space="preserve">Acumulado en el año </t>
  </si>
  <si>
    <t xml:space="preserve">$ </t>
  </si>
  <si>
    <t>Aguinaldos al cierre de mes</t>
  </si>
  <si>
    <t>DFEA al cierre de mes</t>
  </si>
  <si>
    <t>Gasto de Inversión Recursos Propios</t>
  </si>
  <si>
    <t xml:space="preserve">Saldo en bancos privisionado para: </t>
  </si>
  <si>
    <t>Inversión en bancos al cierre de mes</t>
  </si>
  <si>
    <t>Acumulado 2019</t>
  </si>
  <si>
    <t>Mensual PIGOO</t>
  </si>
  <si>
    <t>Subtotal Empleados Activos 2016</t>
  </si>
  <si>
    <t>Subtotal emp. pensionados o jubilados 2016</t>
  </si>
  <si>
    <t>Gran Total de 2016</t>
  </si>
  <si>
    <t>Volumen Cobrado al Sector Público                  M3</t>
  </si>
  <si>
    <t>Eficiencia cobranza  (sólo sector público)</t>
  </si>
  <si>
    <t>Eficiencia Cobranza GLOBAL</t>
  </si>
  <si>
    <t>Consumo en KWH</t>
  </si>
  <si>
    <t>Costo y consumo de Energía únicamente de Producción y Distribución del Volumen de Agua , Saneamiento y Alcantarillado</t>
  </si>
  <si>
    <t>KWH</t>
  </si>
  <si>
    <t>Costo Promedio Kwh</t>
  </si>
  <si>
    <t>Importe facturado al sector público</t>
  </si>
  <si>
    <t>Importe facturado a todos los usuarios excepto al  Sector Publico</t>
  </si>
  <si>
    <t># de tomas con clave  de medición (estimado, promedio, etc)</t>
  </si>
  <si>
    <t>Volumen Entregado No Facturado (Pipas, POI, Etc.)</t>
  </si>
  <si>
    <t>Habitantes (CONAPO)</t>
  </si>
  <si>
    <t>Dotación Habitante/Dia</t>
  </si>
  <si>
    <t>Consumo Habitante/Dia</t>
  </si>
  <si>
    <t>Mensual 2020</t>
  </si>
  <si>
    <t>Acumulado 2020</t>
  </si>
  <si>
    <t>Acumulado en el año 2020</t>
  </si>
  <si>
    <t>Costo por M3 alumbrado 2020</t>
  </si>
  <si>
    <t xml:space="preserve">Septiembre 2016 </t>
  </si>
  <si>
    <t>Eficiencia Cobranza s/ sector público</t>
  </si>
  <si>
    <t>Importe TOTAL cobrado a Tiempo</t>
  </si>
  <si>
    <t>Importe TOTAL cobrado de Rezago</t>
  </si>
  <si>
    <t>Cuentas con Rezago</t>
  </si>
  <si>
    <t>Comercial</t>
  </si>
  <si>
    <t>Domestico</t>
  </si>
  <si>
    <t>Industrial</t>
  </si>
  <si>
    <t>Publico</t>
  </si>
  <si>
    <t>Acumulado 2017</t>
  </si>
  <si>
    <t>Escolar</t>
  </si>
  <si>
    <t>KWH por m3</t>
  </si>
  <si>
    <t>Usuarios con Descuento Social</t>
  </si>
  <si>
    <t>Importe cobrado con Descuento Social</t>
  </si>
  <si>
    <t>PROGRAMA DE INDICADORES DE GESTION DE ORGANISMOS OPERADORES</t>
  </si>
  <si>
    <t>Variables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</si>
  <si>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</si>
  <si>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</si>
  <si>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</si>
  <si>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</si>
  <si>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</si>
  <si>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</si>
  <si>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</si>
  <si>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</si>
  <si>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</si>
  <si>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</si>
  <si>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</si>
  <si>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</si>
  <si>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</si>
  <si>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</si>
  <si>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</si>
  <si>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</si>
  <si>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</si>
  <si>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</si>
  <si>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</si>
  <si>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</si>
  <si>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</si>
  <si>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</si>
  <si>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</si>
  <si>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</si>
  <si>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</si>
  <si>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</si>
  <si>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</si>
  <si>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</si>
  <si>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</si>
  <si>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</si>
  <si>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</si>
  <si>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</si>
  <si>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</si>
  <si>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>iv) Resto de los Servicios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</si>
  <si>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</si>
  <si>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</si>
  <si>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</si>
  <si>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</si>
  <si>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</si>
  <si>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</si>
  <si>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</si>
  <si>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</si>
  <si>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</si>
  <si>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</si>
  <si>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</si>
  <si>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</si>
  <si>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</si>
  <si>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</si>
  <si>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</si>
  <si>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</si>
  <si>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</si>
  <si>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</si>
  <si>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</si>
  <si>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</si>
  <si>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</si>
  <si>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</si>
  <si>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</si>
  <si>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</si>
  <si>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</si>
  <si>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</si>
  <si>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Agua Potable</t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</si>
  <si>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</si>
  <si>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</si>
  <si>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</si>
  <si>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</si>
  <si>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</si>
  <si>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</si>
  <si>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</si>
  <si>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</si>
  <si>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</si>
  <si>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</si>
  <si>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</si>
  <si>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</si>
  <si>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</si>
  <si>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</si>
  <si>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</si>
  <si>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</si>
  <si>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</si>
  <si>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</si>
  <si>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</si>
  <si>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</si>
  <si>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Facturación de Agua, Alcant. y Saneamiento en $ (A+B+C+D+E)</t>
  </si>
  <si>
    <t>Cobrado de Agua, Alcant. y Saneamiento en $ (A+B+C+D+E)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</si>
  <si>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</si>
  <si>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</si>
  <si>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</si>
  <si>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</si>
  <si>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</si>
  <si>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</si>
  <si>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</si>
  <si>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</si>
  <si>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</si>
  <si>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</si>
  <si>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</si>
  <si>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</si>
  <si>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</si>
  <si>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</si>
  <si>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</si>
  <si>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</si>
  <si>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</si>
  <si>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</si>
  <si>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</si>
  <si>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</si>
  <si>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</si>
  <si>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</si>
  <si>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</si>
  <si>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</si>
  <si>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</si>
  <si>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_____m3</t>
  </si>
  <si>
    <t xml:space="preserve">               Comercial $  _____m3</t>
  </si>
  <si>
    <t xml:space="preserve">               Industrial $   _____m3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</si>
  <si>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</si>
  <si>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</si>
  <si>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</si>
  <si>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</si>
  <si>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</si>
  <si>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</si>
  <si>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</si>
  <si>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</si>
  <si>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</si>
  <si>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</si>
  <si>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</si>
  <si>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</si>
  <si>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</si>
  <si>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</si>
  <si>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</si>
  <si>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</si>
  <si>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</si>
  <si>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</si>
  <si>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</si>
  <si>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</si>
  <si>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</si>
  <si>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</si>
  <si>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</si>
  <si>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</si>
  <si>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</si>
  <si>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</si>
  <si>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</si>
  <si>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</si>
  <si>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</si>
  <si>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</si>
  <si>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</si>
  <si>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</si>
  <si>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</si>
  <si>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</si>
  <si>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</si>
  <si>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</si>
  <si>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</si>
  <si>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</si>
  <si>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</si>
  <si>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</si>
  <si>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</si>
  <si>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</si>
  <si>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</si>
  <si>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</si>
  <si>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</si>
  <si>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</si>
  <si>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 xml:space="preserve">Volumen Cobrado a Tiempo         </t>
  </si>
  <si>
    <t xml:space="preserve">Volumen Cobrado de Rezago         </t>
  </si>
  <si>
    <t>Eventos de pago a tiempo del mes 2020</t>
  </si>
  <si>
    <t># de medidores nuevos instalados en usuarios en el mes</t>
  </si>
  <si>
    <t># de medidores nuevos instalados en usuarios acumulado</t>
  </si>
  <si>
    <t xml:space="preserve">iii) DFEA Pagados </t>
  </si>
  <si>
    <t>d) Apoyos y transferencias y Otros</t>
  </si>
  <si>
    <t>EFICIENCIA FISICA</t>
  </si>
  <si>
    <t>Saltillo</t>
  </si>
  <si>
    <t>Monterrey</t>
  </si>
  <si>
    <t>Eficiencia Cobranza</t>
  </si>
  <si>
    <t>EFICIENCIA COBRANZA</t>
  </si>
  <si>
    <t>EFICIENCIA COMERCIAL</t>
  </si>
  <si>
    <t>DOTACION Y CONSUMO</t>
  </si>
  <si>
    <t>Dotación l/h/d</t>
  </si>
  <si>
    <t>Consumo l/h/d</t>
  </si>
  <si>
    <t>COMPORTAMIENTO DE REZAGO</t>
  </si>
  <si>
    <t>No. De Cortes Efectivos del Mes</t>
  </si>
  <si>
    <t>Con  Medición</t>
  </si>
  <si>
    <t>Servicio Continuo</t>
  </si>
  <si>
    <t>Padron Usuarios Total</t>
  </si>
  <si>
    <t>NÚMERO DE EMPLEADOS POR CADA 100 TOMAS</t>
  </si>
  <si>
    <t>PADRON DE USUARIOS</t>
  </si>
  <si>
    <t>No. Empleados X cada 1,000 Tomas</t>
  </si>
  <si>
    <t>ENERGÍA ELÉCTRICA</t>
  </si>
  <si>
    <r>
      <t>Costo Por m</t>
    </r>
    <r>
      <rPr>
        <vertAlign val="superscript"/>
        <sz val="11"/>
        <color theme="1"/>
        <rFont val="Calibri"/>
        <family val="2"/>
        <scheme val="minor"/>
      </rPr>
      <t>3</t>
    </r>
  </si>
  <si>
    <t>Costo Promedio KWH</t>
  </si>
  <si>
    <r>
      <t>KWH por m</t>
    </r>
    <r>
      <rPr>
        <vertAlign val="superscript"/>
        <sz val="11"/>
        <color theme="1"/>
        <rFont val="Calibri"/>
        <family val="2"/>
        <scheme val="minor"/>
      </rPr>
      <t>3</t>
    </r>
  </si>
  <si>
    <t>miles de usuarios</t>
  </si>
  <si>
    <t>Eficiencia Cobranza Agua Tratada (incluyendo SP)</t>
  </si>
  <si>
    <t>Precio Venta</t>
  </si>
  <si>
    <t>* NO REPETIR LAS BONIFICACIONES, DESCUENTOS Y AJUSTES EN LOS GASTOS OPERATIVOS.</t>
  </si>
  <si>
    <t>Costo c/ Operación</t>
  </si>
  <si>
    <t>Costo c/ Inversión</t>
  </si>
  <si>
    <r>
      <t>VALOR 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</si>
  <si>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Cobertura de Alcantarillado</t>
  </si>
  <si>
    <t>- SE CAPTURAN LOS QUE SE DESCRIBE CON LETRAS ROJAS Y EN BASE A LOS COMENTARIOS INCLUIDOS EN CADA TÍTULO.</t>
  </si>
  <si>
    <t>- LLENAR TODOS LOS CONCPETOS AUN CUANDO NO APLIQUEN (N/A)</t>
  </si>
  <si>
    <t>- LA INFORMACIÓN QUE CAPTUREN DEBE SER ANALIZADO PREVIAMENTE POR LOS TITULARES YA QUE ES SU OBLIGACIÓN EL CONTENIDO Y LA LEY GENERAL DE RESPONSABILIDADES ADMINISTRATIVAS CONTEMPLA SANSIONES EN CASO DE QUE LA INFORMACIÓN NO SE MANDE DE MANERA CORRECTA O PRESENTE INFORMACIÓN FALSA Y LO CONTEMPA COMO DESACATO ART. 63 DE LA CITADA LEY.</t>
  </si>
  <si>
    <t>- AL FINAL SE INCLUYEN ALGUNAS GRAFICAS DE INDICADORES QUE MUESTRAN EL COMPORTAMIENTO MENSUAL, PARA QUE NO SE HAGAN MODIFICACIONES Y SOLO SE CAPTURE LO SEÑALADO.</t>
  </si>
  <si>
    <t>na</t>
  </si>
  <si>
    <t>Mensual 2021</t>
  </si>
  <si>
    <t>Crecimiento mensual vs. 2020</t>
  </si>
  <si>
    <t>Crecimiento Acumulado vs. 2020</t>
  </si>
  <si>
    <t>Acumulado 2021</t>
  </si>
  <si>
    <t>Pago Electricidad Mensual 2021</t>
  </si>
  <si>
    <t>Eventos de pago a tiempo del mes 2021</t>
  </si>
  <si>
    <t>Eficiencia eventos de pago 2021</t>
  </si>
  <si>
    <t>importe de IVA recuperado acumulado en el año 2021</t>
  </si>
  <si>
    <t>Al cierre del mes 2021</t>
  </si>
  <si>
    <t>Ejercicio Fiscal 2021</t>
  </si>
  <si>
    <r>
      <t xml:space="preserve">JUNTA MUNICIPAL DE AGUA Y SANEAMIENTO DE </t>
    </r>
    <r>
      <rPr>
        <b/>
        <sz val="12"/>
        <color rgb="FFFF0000"/>
        <rFont val="Arial"/>
        <family val="2"/>
      </rPr>
      <t>JMAS</t>
    </r>
  </si>
  <si>
    <r>
      <t>Volumen de agua producida en m</t>
    </r>
    <r>
      <rPr>
        <b/>
        <vertAlign val="superscript"/>
        <sz val="12"/>
        <color indexed="8"/>
        <rFont val="Arial"/>
        <family val="2"/>
      </rPr>
      <t>3</t>
    </r>
  </si>
  <si>
    <r>
      <t>Volumen de Almacenamiento de los Tanques m</t>
    </r>
    <r>
      <rPr>
        <vertAlign val="superscript"/>
        <sz val="12"/>
        <color rgb="FFFF0000"/>
        <rFont val="Arial"/>
        <family val="2"/>
      </rPr>
      <t>3</t>
    </r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</si>
  <si>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</si>
  <si>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>INDICADORES MENSUALES JMAS 2021</t>
  </si>
  <si>
    <t>Acumulado en el año 2021</t>
  </si>
  <si>
    <t>Costo por M3 alumbrado 2021</t>
  </si>
  <si>
    <t>Cortes efectivos del mes 2021</t>
  </si>
  <si>
    <t>Cortes acumulados en 2021</t>
  </si>
  <si>
    <t>Reconexiones del mes 2021 (independientemente del mes en que se hizo el corte)</t>
  </si>
  <si>
    <t>Gran Total de 2021</t>
  </si>
  <si>
    <t>Subtotal Empleados Activos 2021</t>
  </si>
  <si>
    <t>Subtotal emp. pensionados o jubilados 2021</t>
  </si>
  <si>
    <t>Importe de multas cobradas en el mes 2021</t>
  </si>
  <si>
    <t>Importe de multas cobradas acumuladas 2021</t>
  </si>
  <si>
    <t>Pago Electricidad Mensual 2020</t>
  </si>
  <si>
    <t>Reconexiones acumulado 2021</t>
  </si>
  <si>
    <t>no hubo</t>
  </si>
  <si>
    <t xml:space="preserve">no hubo </t>
  </si>
  <si>
    <t>C. JAIME LARA HERNANDEZ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</si>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</sst>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_-&quot;$&quot;* #,##0_-;\-&quot;$&quot;* #,##0_-;_-&quot;$&quot;* &quot;-&quot;??_-;_-@_-"/>
    <numFmt numFmtId="169" formatCode="0.0"/>
    <numFmt numFmtId="170" formatCode="#,##0.00_ ;\-#,##0.00\ "/>
    <numFmt numFmtId="171" formatCode="_(* #,##0_);_(* \(#,##0\);_(* &quot;-&quot;??_);_(@_)"/>
    <numFmt numFmtId="172" formatCode="#,##0.00_ ;[Red]\-#,##0.00\ "/>
    <numFmt numFmtId="173" formatCode="#,##0_ ;[Red]\-#,##0\ "/>
    <numFmt numFmtId="174" formatCode="#,##0.00;[Red]#,##0.00"/>
    <numFmt numFmtId="175" formatCode="_-* #,##0.000_-;\-* #,##0.000_-;_-* &quot;-&quot;??_-;_-@_-"/>
    <numFmt numFmtId="176" formatCode="#,##0_ ;\-#,##0\ 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indexed="5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rgb="FF002060"/>
      <name val="Arial"/>
      <family val="2"/>
    </font>
    <font>
      <b/>
      <i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rgb="FFFF0000"/>
      <name val="Arial"/>
      <family val="2"/>
    </font>
    <font>
      <sz val="12"/>
      <color rgb="FF000000"/>
      <name val="Arial"/>
      <family val="2"/>
    </font>
    <font>
      <sz val="14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D26F8"/>
        <bgColor indexed="64"/>
      </patternFill>
    </fill>
    <fill>
      <patternFill patternType="solid">
        <fgColor rgb="FFEA38F8"/>
        <bgColor indexed="64"/>
      </patternFill>
    </fill>
    <fill>
      <patternFill patternType="solid">
        <fgColor indexed="9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3" fontId="0" fillId="2" borderId="7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167" fontId="0" fillId="2" borderId="8" xfId="0" applyNumberForma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9" fontId="0" fillId="0" borderId="8" xfId="3" applyFont="1" applyBorder="1" applyAlignment="1">
      <alignment vertical="center"/>
    </xf>
    <xf numFmtId="9" fontId="0" fillId="2" borderId="8" xfId="3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3" fontId="0" fillId="3" borderId="7" xfId="0" applyNumberForma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167" fontId="0" fillId="3" borderId="8" xfId="0" applyNumberFormat="1" applyFill="1" applyBorder="1" applyAlignment="1">
      <alignment vertical="center"/>
    </xf>
    <xf numFmtId="9" fontId="0" fillId="3" borderId="8" xfId="3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3" fontId="0" fillId="4" borderId="7" xfId="0" applyNumberFormat="1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9" fontId="0" fillId="4" borderId="8" xfId="3" applyFont="1" applyFill="1" applyBorder="1" applyAlignment="1">
      <alignment vertical="center"/>
    </xf>
    <xf numFmtId="0" fontId="7" fillId="5" borderId="7" xfId="0" applyFont="1" applyFill="1" applyBorder="1" applyAlignment="1">
      <alignment vertical="center" wrapText="1"/>
    </xf>
    <xf numFmtId="9" fontId="8" fillId="5" borderId="3" xfId="3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9" fontId="8" fillId="0" borderId="8" xfId="3" applyFont="1" applyBorder="1" applyAlignment="1">
      <alignment vertical="center"/>
    </xf>
    <xf numFmtId="0" fontId="7" fillId="5" borderId="9" xfId="0" applyFont="1" applyFill="1" applyBorder="1" applyAlignment="1">
      <alignment vertical="center" wrapText="1"/>
    </xf>
    <xf numFmtId="9" fontId="8" fillId="5" borderId="12" xfId="3" applyFont="1" applyFill="1" applyBorder="1" applyAlignment="1">
      <alignment vertical="center"/>
    </xf>
    <xf numFmtId="3" fontId="0" fillId="6" borderId="7" xfId="0" applyNumberFormat="1" applyFill="1" applyBorder="1" applyAlignment="1">
      <alignment vertical="center"/>
    </xf>
    <xf numFmtId="3" fontId="0" fillId="6" borderId="8" xfId="0" applyNumberFormat="1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168" fontId="0" fillId="4" borderId="8" xfId="0" applyNumberFormat="1" applyFill="1" applyBorder="1" applyAlignment="1">
      <alignment vertical="center"/>
    </xf>
    <xf numFmtId="9" fontId="0" fillId="0" borderId="7" xfId="3" applyFont="1" applyBorder="1" applyAlignment="1">
      <alignment vertical="center"/>
    </xf>
    <xf numFmtId="9" fontId="0" fillId="4" borderId="7" xfId="3" applyFont="1" applyFill="1" applyBorder="1" applyAlignment="1">
      <alignment vertical="center"/>
    </xf>
    <xf numFmtId="0" fontId="0" fillId="4" borderId="11" xfId="0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9" fontId="2" fillId="5" borderId="5" xfId="3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9" fontId="2" fillId="0" borderId="7" xfId="3" applyFont="1" applyFill="1" applyBorder="1" applyAlignment="1">
      <alignment vertical="center"/>
    </xf>
    <xf numFmtId="0" fontId="10" fillId="5" borderId="11" xfId="0" applyFont="1" applyFill="1" applyBorder="1" applyAlignment="1">
      <alignment vertical="center" wrapText="1"/>
    </xf>
    <xf numFmtId="9" fontId="2" fillId="5" borderId="9" xfId="3" applyFont="1" applyFill="1" applyBorder="1" applyAlignment="1">
      <alignment vertical="center"/>
    </xf>
    <xf numFmtId="0" fontId="0" fillId="6" borderId="10" xfId="0" applyFill="1" applyBorder="1" applyAlignment="1">
      <alignment vertical="center" wrapText="1"/>
    </xf>
    <xf numFmtId="167" fontId="0" fillId="6" borderId="8" xfId="0" applyNumberFormat="1" applyFill="1" applyBorder="1" applyAlignment="1">
      <alignment vertical="center"/>
    </xf>
    <xf numFmtId="9" fontId="0" fillId="6" borderId="7" xfId="3" applyFont="1" applyFill="1" applyBorder="1" applyAlignment="1">
      <alignment vertical="center"/>
    </xf>
    <xf numFmtId="9" fontId="0" fillId="6" borderId="8" xfId="3" applyFont="1" applyFill="1" applyBorder="1" applyAlignment="1">
      <alignment vertical="center"/>
    </xf>
    <xf numFmtId="0" fontId="0" fillId="6" borderId="11" xfId="0" applyFill="1" applyBorder="1" applyAlignment="1">
      <alignment vertical="center" wrapText="1"/>
    </xf>
    <xf numFmtId="3" fontId="0" fillId="6" borderId="9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9" fontId="0" fillId="2" borderId="7" xfId="3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3" fontId="0" fillId="2" borderId="9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9" fontId="0" fillId="3" borderId="7" xfId="3" applyFont="1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3" fontId="0" fillId="3" borderId="12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3" fontId="0" fillId="4" borderId="9" xfId="0" applyNumberFormat="1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7" xfId="3" applyNumberFormat="1" applyFont="1" applyBorder="1" applyAlignment="1">
      <alignment vertical="center"/>
    </xf>
    <xf numFmtId="0" fontId="0" fillId="0" borderId="8" xfId="3" applyNumberFormat="1" applyFont="1" applyBorder="1" applyAlignment="1">
      <alignment vertical="center"/>
    </xf>
    <xf numFmtId="0" fontId="0" fillId="6" borderId="7" xfId="3" applyNumberFormat="1" applyFont="1" applyFill="1" applyBorder="1" applyAlignment="1">
      <alignment vertical="center"/>
    </xf>
    <xf numFmtId="0" fontId="0" fillId="6" borderId="8" xfId="3" applyNumberFormat="1" applyFont="1" applyFill="1" applyBorder="1" applyAlignment="1">
      <alignment vertical="center"/>
    </xf>
    <xf numFmtId="3" fontId="0" fillId="6" borderId="12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9" fontId="2" fillId="5" borderId="3" xfId="3" applyFont="1" applyFill="1" applyBorder="1" applyAlignment="1">
      <alignment vertical="center"/>
    </xf>
    <xf numFmtId="0" fontId="2" fillId="7" borderId="8" xfId="0" applyFont="1" applyFill="1" applyBorder="1" applyAlignment="1">
      <alignment vertical="center" wrapText="1"/>
    </xf>
    <xf numFmtId="9" fontId="2" fillId="7" borderId="8" xfId="3" applyFont="1" applyFill="1" applyBorder="1" applyAlignment="1">
      <alignment vertical="center"/>
    </xf>
    <xf numFmtId="167" fontId="0" fillId="0" borderId="7" xfId="1" applyNumberFormat="1" applyFont="1" applyBorder="1" applyAlignment="1">
      <alignment vertical="center"/>
    </xf>
    <xf numFmtId="167" fontId="0" fillId="0" borderId="8" xfId="1" applyNumberFormat="1" applyFont="1" applyBorder="1" applyAlignment="1">
      <alignment vertical="center"/>
    </xf>
    <xf numFmtId="2" fontId="0" fillId="4" borderId="7" xfId="0" applyNumberFormat="1" applyFill="1" applyBorder="1" applyAlignment="1">
      <alignment vertical="center"/>
    </xf>
    <xf numFmtId="0" fontId="11" fillId="5" borderId="5" xfId="0" applyFont="1" applyFill="1" applyBorder="1" applyAlignment="1">
      <alignment vertical="center" wrapText="1"/>
    </xf>
    <xf numFmtId="9" fontId="11" fillId="5" borderId="5" xfId="3" applyFont="1" applyFill="1" applyBorder="1" applyAlignment="1">
      <alignment vertical="center"/>
    </xf>
    <xf numFmtId="9" fontId="11" fillId="5" borderId="3" xfId="3" applyFon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7" xfId="3" applyNumberFormat="1" applyFont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9" fontId="0" fillId="3" borderId="9" xfId="3" applyFont="1" applyFill="1" applyBorder="1" applyAlignment="1">
      <alignment vertical="center"/>
    </xf>
    <xf numFmtId="164" fontId="0" fillId="4" borderId="5" xfId="2" applyNumberFormat="1" applyFont="1" applyFill="1" applyBorder="1" applyAlignment="1">
      <alignment vertical="center"/>
    </xf>
    <xf numFmtId="164" fontId="0" fillId="4" borderId="3" xfId="2" applyNumberFormat="1" applyFont="1" applyFill="1" applyBorder="1" applyAlignment="1">
      <alignment vertical="center"/>
    </xf>
    <xf numFmtId="164" fontId="0" fillId="0" borderId="7" xfId="2" applyNumberFormat="1" applyFont="1" applyBorder="1" applyAlignment="1">
      <alignment vertical="center"/>
    </xf>
    <xf numFmtId="164" fontId="0" fillId="0" borderId="8" xfId="2" applyNumberFormat="1" applyFont="1" applyBorder="1" applyAlignment="1">
      <alignment vertical="center"/>
    </xf>
    <xf numFmtId="164" fontId="0" fillId="4" borderId="9" xfId="2" applyNumberFormat="1" applyFont="1" applyFill="1" applyBorder="1" applyAlignment="1">
      <alignment vertical="center"/>
    </xf>
    <xf numFmtId="164" fontId="0" fillId="4" borderId="12" xfId="2" applyNumberFormat="1" applyFont="1" applyFill="1" applyBorder="1" applyAlignment="1">
      <alignment vertical="center"/>
    </xf>
    <xf numFmtId="3" fontId="0" fillId="6" borderId="7" xfId="1" applyNumberFormat="1" applyFont="1" applyFill="1" applyBorder="1" applyAlignment="1">
      <alignment vertical="center"/>
    </xf>
    <xf numFmtId="3" fontId="0" fillId="6" borderId="8" xfId="1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3" fontId="0" fillId="2" borderId="1" xfId="1" applyNumberFormat="1" applyFont="1" applyFill="1" applyBorder="1" applyAlignment="1">
      <alignment vertical="center"/>
    </xf>
    <xf numFmtId="3" fontId="0" fillId="4" borderId="6" xfId="1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3" fontId="0" fillId="4" borderId="10" xfId="0" applyNumberForma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9" fontId="0" fillId="0" borderId="10" xfId="3" applyFont="1" applyBorder="1" applyAlignment="1">
      <alignment vertical="center"/>
    </xf>
    <xf numFmtId="9" fontId="0" fillId="0" borderId="9" xfId="3" applyFont="1" applyBorder="1" applyAlignment="1">
      <alignment vertical="center"/>
    </xf>
    <xf numFmtId="3" fontId="0" fillId="4" borderId="5" xfId="1" applyNumberFormat="1" applyFont="1" applyFill="1" applyBorder="1" applyAlignment="1">
      <alignment vertical="center"/>
    </xf>
    <xf numFmtId="167" fontId="0" fillId="0" borderId="0" xfId="1" applyNumberFormat="1" applyFont="1" applyAlignment="1">
      <alignment vertical="center"/>
    </xf>
    <xf numFmtId="9" fontId="0" fillId="0" borderId="11" xfId="3" applyFont="1" applyBorder="1" applyAlignment="1">
      <alignment vertical="center"/>
    </xf>
    <xf numFmtId="3" fontId="0" fillId="4" borderId="7" xfId="1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3" fontId="0" fillId="4" borderId="3" xfId="0" applyNumberFormat="1" applyFill="1" applyBorder="1" applyAlignment="1">
      <alignment vertical="center"/>
    </xf>
    <xf numFmtId="0" fontId="12" fillId="4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3" fontId="0" fillId="5" borderId="5" xfId="1" applyNumberFormat="1" applyFont="1" applyFill="1" applyBorder="1" applyAlignment="1">
      <alignment vertical="center"/>
    </xf>
    <xf numFmtId="3" fontId="0" fillId="0" borderId="7" xfId="1" applyNumberFormat="1" applyFont="1" applyFill="1" applyBorder="1" applyAlignment="1">
      <alignment vertical="center"/>
    </xf>
    <xf numFmtId="3" fontId="0" fillId="5" borderId="7" xfId="1" applyNumberFormat="1" applyFont="1" applyFill="1" applyBorder="1" applyAlignment="1">
      <alignment vertical="center"/>
    </xf>
    <xf numFmtId="3" fontId="0" fillId="0" borderId="7" xfId="1" applyNumberFormat="1" applyFont="1" applyBorder="1" applyAlignment="1">
      <alignment vertical="center"/>
    </xf>
    <xf numFmtId="3" fontId="13" fillId="5" borderId="7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9" fontId="0" fillId="0" borderId="5" xfId="0" applyNumberFormat="1" applyBorder="1" applyAlignment="1">
      <alignment vertical="center"/>
    </xf>
    <xf numFmtId="0" fontId="13" fillId="6" borderId="7" xfId="0" applyFont="1" applyFill="1" applyBorder="1" applyAlignment="1">
      <alignment vertical="center" wrapText="1"/>
    </xf>
    <xf numFmtId="169" fontId="0" fillId="6" borderId="9" xfId="0" applyNumberFormat="1" applyFill="1" applyBorder="1" applyAlignment="1">
      <alignment vertical="center"/>
    </xf>
    <xf numFmtId="168" fontId="0" fillId="0" borderId="9" xfId="0" applyNumberFormat="1" applyFill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6" fillId="0" borderId="0" xfId="0" applyFont="1" applyAlignment="1">
      <alignment vertical="center"/>
    </xf>
    <xf numFmtId="3" fontId="0" fillId="0" borderId="5" xfId="0" applyNumberFormat="1" applyBorder="1"/>
    <xf numFmtId="3" fontId="0" fillId="0" borderId="3" xfId="0" applyNumberFormat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0" fontId="0" fillId="0" borderId="5" xfId="0" applyBorder="1"/>
    <xf numFmtId="0" fontId="0" fillId="0" borderId="3" xfId="0" applyBorder="1"/>
    <xf numFmtId="0" fontId="0" fillId="3" borderId="7" xfId="0" applyFill="1" applyBorder="1"/>
    <xf numFmtId="0" fontId="0" fillId="3" borderId="8" xfId="0" applyFill="1" applyBorder="1"/>
    <xf numFmtId="0" fontId="0" fillId="6" borderId="7" xfId="0" applyFill="1" applyBorder="1"/>
    <xf numFmtId="0" fontId="0" fillId="6" borderId="8" xfId="0" applyFill="1" applyBorder="1"/>
    <xf numFmtId="4" fontId="0" fillId="0" borderId="5" xfId="0" applyNumberFormat="1" applyBorder="1" applyAlignment="1">
      <alignment vertical="center"/>
    </xf>
    <xf numFmtId="4" fontId="0" fillId="6" borderId="9" xfId="0" applyNumberFormat="1" applyFill="1" applyBorder="1" applyAlignment="1">
      <alignment vertical="center"/>
    </xf>
    <xf numFmtId="9" fontId="0" fillId="7" borderId="7" xfId="3" applyFont="1" applyFill="1" applyBorder="1" applyAlignment="1">
      <alignment vertical="center"/>
    </xf>
    <xf numFmtId="0" fontId="2" fillId="6" borderId="7" xfId="0" applyFont="1" applyFill="1" applyBorder="1" applyAlignment="1">
      <alignment vertical="center" textRotation="255"/>
    </xf>
    <xf numFmtId="0" fontId="2" fillId="6" borderId="9" xfId="0" applyFont="1" applyFill="1" applyBorder="1" applyAlignment="1">
      <alignment vertical="center" textRotation="255"/>
    </xf>
    <xf numFmtId="3" fontId="0" fillId="6" borderId="8" xfId="0" applyNumberFormat="1" applyFill="1" applyBorder="1"/>
    <xf numFmtId="0" fontId="17" fillId="2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/>
    </xf>
    <xf numFmtId="0" fontId="17" fillId="6" borderId="0" xfId="0" applyFont="1" applyFill="1" applyAlignment="1">
      <alignment vertical="center" wrapText="1"/>
    </xf>
    <xf numFmtId="168" fontId="17" fillId="0" borderId="7" xfId="0" applyNumberFormat="1" applyFont="1" applyFill="1" applyBorder="1" applyAlignment="1">
      <alignment vertical="center" wrapText="1"/>
    </xf>
    <xf numFmtId="168" fontId="17" fillId="6" borderId="7" xfId="0" applyNumberFormat="1" applyFont="1" applyFill="1" applyBorder="1" applyAlignment="1">
      <alignment vertical="center" wrapText="1"/>
    </xf>
    <xf numFmtId="168" fontId="17" fillId="0" borderId="9" xfId="0" applyNumberFormat="1" applyFont="1" applyFill="1" applyBorder="1" applyAlignment="1">
      <alignment vertical="center" wrapText="1"/>
    </xf>
    <xf numFmtId="9" fontId="8" fillId="5" borderId="8" xfId="3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0" fillId="7" borderId="7" xfId="3" applyNumberFormat="1" applyFont="1" applyFill="1" applyBorder="1" applyAlignment="1">
      <alignment vertical="center"/>
    </xf>
    <xf numFmtId="0" fontId="0" fillId="7" borderId="8" xfId="3" applyNumberFormat="1" applyFont="1" applyFill="1" applyBorder="1" applyAlignment="1">
      <alignment vertical="center"/>
    </xf>
    <xf numFmtId="0" fontId="10" fillId="8" borderId="17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vertical="center" wrapText="1"/>
    </xf>
    <xf numFmtId="167" fontId="2" fillId="8" borderId="7" xfId="1" applyNumberFormat="1" applyFont="1" applyFill="1" applyBorder="1" applyAlignment="1">
      <alignment vertical="center"/>
    </xf>
    <xf numFmtId="167" fontId="2" fillId="8" borderId="17" xfId="1" applyNumberFormat="1" applyFont="1" applyFill="1" applyBorder="1" applyAlignment="1">
      <alignment vertical="center"/>
    </xf>
    <xf numFmtId="167" fontId="2" fillId="8" borderId="18" xfId="1" applyNumberFormat="1" applyFont="1" applyFill="1" applyBorder="1" applyAlignment="1">
      <alignment vertical="center"/>
    </xf>
    <xf numFmtId="167" fontId="17" fillId="9" borderId="15" xfId="1" applyNumberFormat="1" applyFont="1" applyFill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0" fillId="6" borderId="25" xfId="0" applyNumberFormat="1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9" fontId="0" fillId="0" borderId="25" xfId="3" applyFont="1" applyBorder="1" applyAlignment="1">
      <alignment vertical="center"/>
    </xf>
    <xf numFmtId="9" fontId="0" fillId="6" borderId="25" xfId="3" applyFon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7" borderId="28" xfId="0" applyNumberFormat="1" applyFill="1" applyBorder="1" applyAlignment="1">
      <alignment vertical="center"/>
    </xf>
    <xf numFmtId="3" fontId="0" fillId="2" borderId="29" xfId="0" applyNumberFormat="1" applyFill="1" applyBorder="1" applyAlignment="1">
      <alignment vertical="center"/>
    </xf>
    <xf numFmtId="3" fontId="0" fillId="3" borderId="25" xfId="0" applyNumberFormat="1" applyFill="1" applyBorder="1" applyAlignment="1">
      <alignment vertical="center"/>
    </xf>
    <xf numFmtId="0" fontId="0" fillId="10" borderId="30" xfId="0" applyFill="1" applyBorder="1" applyAlignment="1">
      <alignment vertical="center"/>
    </xf>
    <xf numFmtId="0" fontId="2" fillId="5" borderId="32" xfId="0" applyFont="1" applyFill="1" applyBorder="1" applyAlignment="1">
      <alignment vertical="center" wrapText="1"/>
    </xf>
    <xf numFmtId="9" fontId="2" fillId="5" borderId="32" xfId="3" applyFont="1" applyFill="1" applyBorder="1" applyAlignment="1">
      <alignment vertical="center"/>
    </xf>
    <xf numFmtId="170" fontId="0" fillId="7" borderId="9" xfId="0" applyNumberFormat="1" applyFill="1" applyBorder="1" applyAlignment="1">
      <alignment vertical="center"/>
    </xf>
    <xf numFmtId="0" fontId="2" fillId="6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1" fontId="8" fillId="2" borderId="5" xfId="1" applyNumberFormat="1" applyFont="1" applyFill="1" applyBorder="1"/>
    <xf numFmtId="171" fontId="8" fillId="5" borderId="7" xfId="1" applyNumberFormat="1" applyFont="1" applyFill="1" applyBorder="1"/>
    <xf numFmtId="171" fontId="8" fillId="2" borderId="7" xfId="1" applyNumberFormat="1" applyFont="1" applyFill="1" applyBorder="1"/>
    <xf numFmtId="0" fontId="2" fillId="11" borderId="6" xfId="0" applyFont="1" applyFill="1" applyBorder="1"/>
    <xf numFmtId="171" fontId="8" fillId="5" borderId="5" xfId="1" applyNumberFormat="1" applyFont="1" applyFill="1" applyBorder="1"/>
    <xf numFmtId="171" fontId="8" fillId="5" borderId="10" xfId="1" applyNumberFormat="1" applyFont="1" applyFill="1" applyBorder="1"/>
    <xf numFmtId="171" fontId="8" fillId="2" borderId="10" xfId="1" applyNumberFormat="1" applyFont="1" applyFill="1" applyBorder="1"/>
    <xf numFmtId="171" fontId="8" fillId="11" borderId="9" xfId="1" applyNumberFormat="1" applyFont="1" applyFill="1" applyBorder="1"/>
    <xf numFmtId="171" fontId="18" fillId="11" borderId="9" xfId="1" applyNumberFormat="1" applyFont="1" applyFill="1" applyBorder="1"/>
    <xf numFmtId="171" fontId="18" fillId="11" borderId="11" xfId="1" applyNumberFormat="1" applyFont="1" applyFill="1" applyBorder="1"/>
    <xf numFmtId="0" fontId="17" fillId="2" borderId="13" xfId="0" applyFont="1" applyFill="1" applyBorder="1"/>
    <xf numFmtId="0" fontId="17" fillId="11" borderId="0" xfId="0" applyFont="1" applyFill="1"/>
    <xf numFmtId="0" fontId="17" fillId="2" borderId="0" xfId="0" applyFont="1" applyFill="1"/>
    <xf numFmtId="0" fontId="17" fillId="5" borderId="10" xfId="0" applyFont="1" applyFill="1" applyBorder="1" applyAlignment="1">
      <alignment vertical="center" wrapText="1"/>
    </xf>
    <xf numFmtId="0" fontId="17" fillId="11" borderId="1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9" fontId="0" fillId="3" borderId="12" xfId="3" applyFont="1" applyFill="1" applyBorder="1" applyAlignment="1">
      <alignment vertical="center"/>
    </xf>
    <xf numFmtId="0" fontId="17" fillId="3" borderId="11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43" fontId="0" fillId="4" borderId="5" xfId="0" applyNumberFormat="1" applyFon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171" fontId="0" fillId="3" borderId="7" xfId="1" applyNumberFormat="1" applyFont="1" applyFill="1" applyBorder="1" applyAlignment="1">
      <alignment vertical="center"/>
    </xf>
    <xf numFmtId="171" fontId="0" fillId="7" borderId="7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17" borderId="0" xfId="0" applyFont="1" applyFill="1" applyAlignment="1">
      <alignment vertical="center"/>
    </xf>
    <xf numFmtId="0" fontId="19" fillId="17" borderId="0" xfId="0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167" fontId="23" fillId="17" borderId="0" xfId="1" applyNumberFormat="1" applyFont="1" applyFill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167" fontId="10" fillId="4" borderId="10" xfId="1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7" fillId="0" borderId="10" xfId="0" quotePrefix="1" applyFont="1" applyFill="1" applyBorder="1" applyAlignment="1">
      <alignment vertical="center" wrapText="1"/>
    </xf>
    <xf numFmtId="168" fontId="10" fillId="2" borderId="5" xfId="0" applyNumberFormat="1" applyFont="1" applyFill="1" applyBorder="1" applyAlignment="1">
      <alignment vertical="center" wrapText="1"/>
    </xf>
    <xf numFmtId="9" fontId="0" fillId="0" borderId="0" xfId="0" applyNumberFormat="1"/>
    <xf numFmtId="9" fontId="0" fillId="0" borderId="0" xfId="3" applyFont="1"/>
    <xf numFmtId="171" fontId="0" fillId="0" borderId="0" xfId="1" applyNumberFormat="1" applyFont="1"/>
    <xf numFmtId="171" fontId="0" fillId="0" borderId="0" xfId="1" applyNumberFormat="1" applyFont="1" applyAlignment="1">
      <alignment vertical="center"/>
    </xf>
    <xf numFmtId="2" fontId="0" fillId="0" borderId="0" xfId="0" applyNumberFormat="1"/>
    <xf numFmtId="4" fontId="0" fillId="0" borderId="0" xfId="0" applyNumberFormat="1"/>
    <xf numFmtId="0" fontId="10" fillId="0" borderId="22" xfId="0" applyFont="1" applyFill="1" applyBorder="1" applyAlignment="1">
      <alignment vertical="center" wrapText="1"/>
    </xf>
    <xf numFmtId="0" fontId="0" fillId="0" borderId="0" xfId="0"/>
    <xf numFmtId="4" fontId="0" fillId="0" borderId="0" xfId="0" applyNumberFormat="1" applyAlignment="1">
      <alignment horizontal="right"/>
    </xf>
    <xf numFmtId="0" fontId="0" fillId="10" borderId="0" xfId="0" applyFill="1"/>
    <xf numFmtId="0" fontId="13" fillId="10" borderId="0" xfId="0" applyFont="1" applyFill="1"/>
    <xf numFmtId="0" fontId="10" fillId="2" borderId="2" xfId="0" applyFont="1" applyFill="1" applyBorder="1" applyAlignment="1">
      <alignment vertical="center"/>
    </xf>
    <xf numFmtId="167" fontId="0" fillId="3" borderId="3" xfId="0" applyNumberFormat="1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3" fontId="0" fillId="7" borderId="8" xfId="0" applyNumberForma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168" fontId="0" fillId="7" borderId="8" xfId="0" applyNumberFormat="1" applyFill="1" applyBorder="1" applyAlignment="1">
      <alignment vertical="center"/>
    </xf>
    <xf numFmtId="3" fontId="0" fillId="7" borderId="5" xfId="0" applyNumberFormat="1" applyFill="1" applyBorder="1"/>
    <xf numFmtId="3" fontId="0" fillId="7" borderId="3" xfId="0" applyNumberFormat="1" applyFill="1" applyBorder="1"/>
    <xf numFmtId="0" fontId="31" fillId="0" borderId="0" xfId="0" applyFont="1"/>
    <xf numFmtId="0" fontId="32" fillId="6" borderId="0" xfId="4" applyFont="1" applyFill="1"/>
    <xf numFmtId="0" fontId="8" fillId="0" borderId="0" xfId="0" applyFont="1"/>
    <xf numFmtId="1" fontId="29" fillId="0" borderId="0" xfId="4" applyNumberFormat="1" applyFont="1" applyAlignment="1">
      <alignment horizontal="center"/>
    </xf>
    <xf numFmtId="1" fontId="34" fillId="0" borderId="0" xfId="4" applyNumberFormat="1" applyFont="1" applyAlignment="1">
      <alignment horizontal="center"/>
    </xf>
    <xf numFmtId="1" fontId="35" fillId="0" borderId="0" xfId="4" applyNumberFormat="1" applyFont="1" applyAlignment="1">
      <alignment horizontal="center"/>
    </xf>
    <xf numFmtId="0" fontId="32" fillId="0" borderId="0" xfId="4" applyFont="1"/>
    <xf numFmtId="0" fontId="33" fillId="13" borderId="33" xfId="4" applyFont="1" applyFill="1" applyBorder="1" applyAlignment="1">
      <alignment horizontal="center" vertical="center"/>
    </xf>
    <xf numFmtId="1" fontId="33" fillId="13" borderId="33" xfId="4" applyNumberFormat="1" applyFont="1" applyFill="1" applyBorder="1" applyAlignment="1">
      <alignment horizontal="center" vertical="center" wrapText="1"/>
    </xf>
    <xf numFmtId="0" fontId="29" fillId="10" borderId="0" xfId="4" applyFont="1" applyFill="1" applyAlignment="1">
      <alignment horizontal="center" vertical="center"/>
    </xf>
    <xf numFmtId="1" fontId="33" fillId="0" borderId="0" xfId="4" applyNumberFormat="1" applyFont="1" applyAlignment="1">
      <alignment horizontal="center" vertical="center" wrapText="1"/>
    </xf>
    <xf numFmtId="0" fontId="29" fillId="19" borderId="34" xfId="0" applyFont="1" applyFill="1" applyBorder="1" applyAlignment="1">
      <alignment horizontal="left" vertical="center"/>
    </xf>
    <xf numFmtId="43" fontId="29" fillId="14" borderId="35" xfId="5" applyFont="1" applyFill="1" applyBorder="1" applyAlignment="1" applyProtection="1">
      <alignment horizontal="right" vertical="center"/>
    </xf>
    <xf numFmtId="9" fontId="29" fillId="14" borderId="36" xfId="3" applyFont="1" applyFill="1" applyBorder="1" applyAlignment="1" applyProtection="1">
      <alignment horizontal="right" vertical="center"/>
    </xf>
    <xf numFmtId="0" fontId="32" fillId="15" borderId="37" xfId="0" applyFont="1" applyFill="1" applyBorder="1" applyAlignment="1">
      <alignment horizontal="left" vertical="center" indent="2"/>
    </xf>
    <xf numFmtId="43" fontId="32" fillId="15" borderId="38" xfId="5" applyFont="1" applyFill="1" applyBorder="1" applyAlignment="1" applyProtection="1">
      <alignment horizontal="right" vertical="center"/>
    </xf>
    <xf numFmtId="9" fontId="32" fillId="15" borderId="39" xfId="3" applyFont="1" applyFill="1" applyBorder="1" applyAlignment="1" applyProtection="1">
      <alignment horizontal="right" vertical="center"/>
    </xf>
    <xf numFmtId="0" fontId="32" fillId="15" borderId="37" xfId="0" applyFont="1" applyFill="1" applyBorder="1" applyAlignment="1">
      <alignment horizontal="left" vertical="center" indent="4"/>
    </xf>
    <xf numFmtId="0" fontId="36" fillId="0" borderId="37" xfId="0" applyFont="1" applyBorder="1" applyAlignment="1">
      <alignment horizontal="left" vertical="center" indent="6"/>
    </xf>
    <xf numFmtId="43" fontId="32" fillId="0" borderId="38" xfId="5" applyFont="1" applyFill="1" applyBorder="1" applyAlignment="1" applyProtection="1">
      <alignment horizontal="right" vertical="center"/>
    </xf>
    <xf numFmtId="43" fontId="32" fillId="7" borderId="38" xfId="5" applyFont="1" applyFill="1" applyBorder="1" applyAlignment="1" applyProtection="1">
      <alignment horizontal="right" vertical="center"/>
    </xf>
    <xf numFmtId="9" fontId="32" fillId="0" borderId="39" xfId="3" applyFont="1" applyFill="1" applyBorder="1" applyAlignment="1" applyProtection="1">
      <alignment horizontal="right" vertical="center"/>
    </xf>
    <xf numFmtId="0" fontId="36" fillId="0" borderId="37" xfId="0" applyFont="1" applyBorder="1" applyAlignment="1">
      <alignment horizontal="left" vertical="center" indent="4"/>
    </xf>
    <xf numFmtId="172" fontId="32" fillId="0" borderId="38" xfId="5" applyNumberFormat="1" applyFont="1" applyFill="1" applyBorder="1" applyAlignment="1" applyProtection="1">
      <alignment horizontal="right" vertical="center"/>
    </xf>
    <xf numFmtId="172" fontId="32" fillId="7" borderId="38" xfId="5" applyNumberFormat="1" applyFont="1" applyFill="1" applyBorder="1" applyAlignment="1" applyProtection="1">
      <alignment horizontal="right" vertical="center"/>
    </xf>
    <xf numFmtId="0" fontId="36" fillId="0" borderId="37" xfId="0" applyFont="1" applyBorder="1" applyAlignment="1">
      <alignment horizontal="left" vertical="center" indent="2"/>
    </xf>
    <xf numFmtId="9" fontId="29" fillId="0" borderId="40" xfId="3" applyFont="1" applyFill="1" applyBorder="1" applyAlignment="1" applyProtection="1">
      <alignment horizontal="right" vertical="center"/>
    </xf>
    <xf numFmtId="0" fontId="32" fillId="0" borderId="37" xfId="0" applyFont="1" applyBorder="1" applyAlignment="1">
      <alignment horizontal="left" vertical="center" indent="2"/>
    </xf>
    <xf numFmtId="167" fontId="37" fillId="0" borderId="39" xfId="5" applyNumberFormat="1" applyFont="1" applyFill="1" applyBorder="1" applyAlignment="1" applyProtection="1">
      <alignment horizontal="right" vertical="center"/>
    </xf>
    <xf numFmtId="0" fontId="29" fillId="19" borderId="37" xfId="0" applyFont="1" applyFill="1" applyBorder="1" applyAlignment="1">
      <alignment horizontal="left" vertical="center"/>
    </xf>
    <xf numFmtId="43" fontId="29" fillId="14" borderId="38" xfId="5" applyFont="1" applyFill="1" applyBorder="1" applyAlignment="1" applyProtection="1">
      <alignment horizontal="right" vertical="center"/>
    </xf>
    <xf numFmtId="9" fontId="32" fillId="14" borderId="39" xfId="3" applyFont="1" applyFill="1" applyBorder="1" applyAlignment="1" applyProtection="1">
      <alignment horizontal="right" vertical="center"/>
    </xf>
    <xf numFmtId="43" fontId="29" fillId="15" borderId="38" xfId="5" applyFont="1" applyFill="1" applyBorder="1" applyAlignment="1" applyProtection="1">
      <alignment horizontal="right" vertical="center"/>
    </xf>
    <xf numFmtId="9" fontId="29" fillId="0" borderId="39" xfId="3" applyFont="1" applyFill="1" applyBorder="1" applyAlignment="1" applyProtection="1">
      <alignment horizontal="right" vertical="center"/>
    </xf>
    <xf numFmtId="43" fontId="32" fillId="0" borderId="45" xfId="5" applyFont="1" applyFill="1" applyBorder="1" applyAlignment="1" applyProtection="1">
      <alignment horizontal="right" vertical="center"/>
    </xf>
    <xf numFmtId="0" fontId="38" fillId="18" borderId="37" xfId="0" quotePrefix="1" applyFont="1" applyFill="1" applyBorder="1" applyAlignment="1">
      <alignment horizontal="left" vertical="center" indent="4"/>
    </xf>
    <xf numFmtId="0" fontId="39" fillId="15" borderId="37" xfId="0" applyFont="1" applyFill="1" applyBorder="1" applyAlignment="1">
      <alignment horizontal="right" vertical="center"/>
    </xf>
    <xf numFmtId="0" fontId="31" fillId="17" borderId="0" xfId="0" applyFont="1" applyFill="1"/>
    <xf numFmtId="0" fontId="39" fillId="0" borderId="37" xfId="0" applyFont="1" applyBorder="1" applyAlignment="1">
      <alignment horizontal="right" vertical="center"/>
    </xf>
    <xf numFmtId="43" fontId="29" fillId="0" borderId="38" xfId="5" applyFont="1" applyFill="1" applyBorder="1" applyAlignment="1" applyProtection="1">
      <alignment horizontal="right" vertical="center"/>
    </xf>
    <xf numFmtId="0" fontId="29" fillId="19" borderId="37" xfId="0" applyFont="1" applyFill="1" applyBorder="1" applyAlignment="1">
      <alignment horizontal="center" vertical="center"/>
    </xf>
    <xf numFmtId="0" fontId="32" fillId="0" borderId="41" xfId="4" applyFont="1" applyBorder="1"/>
    <xf numFmtId="43" fontId="32" fillId="0" borderId="42" xfId="5" applyFont="1" applyFill="1" applyBorder="1" applyAlignment="1" applyProtection="1">
      <alignment horizontal="right" vertical="center"/>
    </xf>
    <xf numFmtId="0" fontId="29" fillId="10" borderId="34" xfId="0" applyFont="1" applyFill="1" applyBorder="1" applyAlignment="1">
      <alignment horizontal="left" vertical="center"/>
    </xf>
    <xf numFmtId="43" fontId="29" fillId="16" borderId="35" xfId="5" applyFont="1" applyFill="1" applyBorder="1" applyAlignment="1" applyProtection="1">
      <alignment horizontal="right" vertical="center"/>
    </xf>
    <xf numFmtId="43" fontId="32" fillId="0" borderId="38" xfId="5" applyFont="1" applyFill="1" applyBorder="1" applyAlignment="1" applyProtection="1">
      <alignment horizontal="right" vertical="center"/>
      <protection locked="0"/>
    </xf>
    <xf numFmtId="43" fontId="32" fillId="7" borderId="38" xfId="5" applyFont="1" applyFill="1" applyBorder="1" applyAlignment="1" applyProtection="1">
      <alignment horizontal="right" vertical="center"/>
      <protection locked="0"/>
    </xf>
    <xf numFmtId="0" fontId="29" fillId="16" borderId="34" xfId="0" applyFont="1" applyFill="1" applyBorder="1" applyAlignment="1">
      <alignment horizontal="left" vertical="center"/>
    </xf>
    <xf numFmtId="0" fontId="32" fillId="7" borderId="41" xfId="0" applyFont="1" applyFill="1" applyBorder="1" applyAlignment="1">
      <alignment horizontal="left" vertical="center" indent="2"/>
    </xf>
    <xf numFmtId="0" fontId="36" fillId="0" borderId="37" xfId="0" applyFont="1" applyBorder="1" applyAlignment="1">
      <alignment horizontal="left" vertical="center"/>
    </xf>
    <xf numFmtId="9" fontId="32" fillId="0" borderId="38" xfId="3" applyFont="1" applyFill="1" applyBorder="1" applyAlignment="1" applyProtection="1">
      <alignment horizontal="right" vertical="center"/>
      <protection locked="0"/>
    </xf>
    <xf numFmtId="9" fontId="32" fillId="0" borderId="38" xfId="5" applyNumberFormat="1" applyFont="1" applyFill="1" applyBorder="1" applyAlignment="1" applyProtection="1">
      <alignment horizontal="right" vertical="center"/>
    </xf>
    <xf numFmtId="0" fontId="32" fillId="0" borderId="37" xfId="0" applyFont="1" applyBorder="1" applyAlignment="1">
      <alignment horizontal="left" vertical="center"/>
    </xf>
    <xf numFmtId="167" fontId="29" fillId="16" borderId="35" xfId="5" applyNumberFormat="1" applyFont="1" applyFill="1" applyBorder="1" applyAlignment="1" applyProtection="1">
      <alignment horizontal="right" vertical="center"/>
    </xf>
    <xf numFmtId="167" fontId="32" fillId="0" borderId="38" xfId="5" applyNumberFormat="1" applyFont="1" applyFill="1" applyBorder="1" applyAlignment="1" applyProtection="1">
      <alignment horizontal="right" vertical="center"/>
      <protection locked="0"/>
    </xf>
    <xf numFmtId="0" fontId="36" fillId="7" borderId="41" xfId="0" applyFont="1" applyFill="1" applyBorder="1" applyAlignment="1">
      <alignment horizontal="left" vertical="center" indent="2"/>
    </xf>
    <xf numFmtId="167" fontId="32" fillId="0" borderId="38" xfId="5" applyNumberFormat="1" applyFont="1" applyFill="1" applyBorder="1" applyAlignment="1" applyProtection="1">
      <alignment horizontal="right" vertical="center"/>
    </xf>
    <xf numFmtId="0" fontId="41" fillId="0" borderId="37" xfId="6" applyFont="1" applyBorder="1"/>
    <xf numFmtId="3" fontId="41" fillId="0" borderId="0" xfId="6" applyNumberFormat="1" applyFont="1"/>
    <xf numFmtId="0" fontId="29" fillId="20" borderId="37" xfId="0" applyFont="1" applyFill="1" applyBorder="1" applyAlignment="1">
      <alignment horizontal="left" vertical="center"/>
    </xf>
    <xf numFmtId="43" fontId="32" fillId="0" borderId="38" xfId="5" applyFont="1" applyFill="1" applyBorder="1" applyAlignment="1" applyProtection="1">
      <alignment horizontal="left" vertical="center"/>
      <protection locked="0"/>
    </xf>
    <xf numFmtId="171" fontId="41" fillId="0" borderId="37" xfId="5" applyNumberFormat="1" applyFont="1" applyBorder="1" applyAlignment="1" applyProtection="1">
      <alignment horizontal="left" indent="1"/>
    </xf>
    <xf numFmtId="171" fontId="42" fillId="0" borderId="38" xfId="5" applyNumberFormat="1" applyFont="1" applyFill="1" applyBorder="1" applyProtection="1"/>
    <xf numFmtId="171" fontId="42" fillId="0" borderId="37" xfId="5" applyNumberFormat="1" applyFont="1" applyFill="1" applyBorder="1" applyAlignment="1" applyProtection="1">
      <alignment horizontal="left" indent="1"/>
    </xf>
    <xf numFmtId="171" fontId="42" fillId="0" borderId="38" xfId="5" applyNumberFormat="1" applyFont="1" applyFill="1" applyBorder="1" applyProtection="1">
      <protection locked="0"/>
    </xf>
    <xf numFmtId="0" fontId="29" fillId="10" borderId="37" xfId="0" applyFont="1" applyFill="1" applyBorder="1" applyAlignment="1">
      <alignment horizontal="center" vertical="center"/>
    </xf>
    <xf numFmtId="0" fontId="29" fillId="10" borderId="37" xfId="0" applyFont="1" applyFill="1" applyBorder="1" applyAlignment="1">
      <alignment horizontal="left" vertical="center"/>
    </xf>
    <xf numFmtId="0" fontId="36" fillId="15" borderId="37" xfId="0" applyFont="1" applyFill="1" applyBorder="1" applyAlignment="1">
      <alignment horizontal="left" vertical="center" indent="3"/>
    </xf>
    <xf numFmtId="43" fontId="29" fillId="15" borderId="38" xfId="5" applyFont="1" applyFill="1" applyBorder="1" applyAlignment="1" applyProtection="1">
      <alignment horizontal="right" vertical="center"/>
      <protection locked="0"/>
    </xf>
    <xf numFmtId="0" fontId="36" fillId="0" borderId="37" xfId="0" applyFont="1" applyBorder="1" applyAlignment="1">
      <alignment horizontal="left" vertical="center" indent="3"/>
    </xf>
    <xf numFmtId="0" fontId="32" fillId="0" borderId="37" xfId="0" applyFont="1" applyBorder="1" applyAlignment="1">
      <alignment horizontal="left" vertical="center" indent="3"/>
    </xf>
    <xf numFmtId="43" fontId="29" fillId="7" borderId="38" xfId="5" applyFont="1" applyFill="1" applyBorder="1" applyAlignment="1" applyProtection="1">
      <alignment horizontal="right" vertical="center"/>
      <protection locked="0"/>
    </xf>
    <xf numFmtId="171" fontId="42" fillId="0" borderId="37" xfId="5" applyNumberFormat="1" applyFont="1" applyBorder="1" applyAlignment="1" applyProtection="1">
      <alignment horizontal="left" indent="1"/>
    </xf>
    <xf numFmtId="173" fontId="42" fillId="0" borderId="38" xfId="7" applyNumberFormat="1" applyFont="1" applyFill="1" applyBorder="1" applyProtection="1"/>
    <xf numFmtId="0" fontId="32" fillId="7" borderId="37" xfId="0" applyFont="1" applyFill="1" applyBorder="1" applyAlignment="1">
      <alignment horizontal="left" vertical="center" indent="2"/>
    </xf>
    <xf numFmtId="171" fontId="42" fillId="0" borderId="37" xfId="5" quotePrefix="1" applyNumberFormat="1" applyFont="1" applyBorder="1" applyAlignment="1" applyProtection="1">
      <alignment horizontal="left" indent="3"/>
    </xf>
    <xf numFmtId="3" fontId="42" fillId="0" borderId="38" xfId="5" applyNumberFormat="1" applyFont="1" applyFill="1" applyBorder="1" applyProtection="1">
      <protection locked="0"/>
    </xf>
    <xf numFmtId="167" fontId="29" fillId="14" borderId="38" xfId="5" applyNumberFormat="1" applyFont="1" applyFill="1" applyBorder="1" applyAlignment="1" applyProtection="1">
      <alignment horizontal="right" vertical="center"/>
    </xf>
    <xf numFmtId="0" fontId="29" fillId="20" borderId="37" xfId="0" applyFont="1" applyFill="1" applyBorder="1" applyAlignment="1">
      <alignment horizontal="left" vertical="center" indent="2"/>
    </xf>
    <xf numFmtId="167" fontId="29" fillId="15" borderId="38" xfId="5" applyNumberFormat="1" applyFont="1" applyFill="1" applyBorder="1" applyAlignment="1" applyProtection="1">
      <alignment horizontal="right" vertical="center"/>
    </xf>
    <xf numFmtId="0" fontId="30" fillId="0" borderId="37" xfId="0" applyFont="1" applyBorder="1" applyAlignment="1">
      <alignment horizontal="left"/>
    </xf>
    <xf numFmtId="167" fontId="32" fillId="0" borderId="38" xfId="5" applyNumberFormat="1" applyFont="1" applyFill="1" applyBorder="1" applyAlignment="1" applyProtection="1">
      <alignment horizontal="right"/>
      <protection locked="0"/>
    </xf>
    <xf numFmtId="0" fontId="29" fillId="7" borderId="37" xfId="0" applyFont="1" applyFill="1" applyBorder="1" applyAlignment="1">
      <alignment horizontal="left" vertical="center"/>
    </xf>
    <xf numFmtId="167" fontId="32" fillId="7" borderId="38" xfId="5" applyNumberFormat="1" applyFont="1" applyFill="1" applyBorder="1" applyAlignment="1" applyProtection="1">
      <alignment horizontal="right" vertical="center"/>
      <protection locked="0"/>
    </xf>
    <xf numFmtId="167" fontId="29" fillId="15" borderId="38" xfId="5" applyNumberFormat="1" applyFont="1" applyFill="1" applyBorder="1" applyAlignment="1" applyProtection="1">
      <alignment horizontal="right" vertical="center"/>
      <protection locked="0"/>
    </xf>
    <xf numFmtId="0" fontId="29" fillId="15" borderId="37" xfId="0" applyFont="1" applyFill="1" applyBorder="1" applyAlignment="1">
      <alignment horizontal="left" vertical="center"/>
    </xf>
    <xf numFmtId="9" fontId="29" fillId="15" borderId="38" xfId="3" applyFont="1" applyFill="1" applyBorder="1" applyAlignment="1" applyProtection="1">
      <alignment horizontal="right" vertical="center"/>
      <protection locked="0"/>
    </xf>
    <xf numFmtId="0" fontId="29" fillId="0" borderId="37" xfId="0" applyFont="1" applyBorder="1" applyAlignment="1">
      <alignment horizontal="left" vertical="center"/>
    </xf>
    <xf numFmtId="167" fontId="29" fillId="0" borderId="38" xfId="5" applyNumberFormat="1" applyFont="1" applyFill="1" applyBorder="1" applyAlignment="1" applyProtection="1">
      <alignment horizontal="right" vertical="center"/>
      <protection locked="0"/>
    </xf>
    <xf numFmtId="167" fontId="29" fillId="7" borderId="38" xfId="5" applyNumberFormat="1" applyFont="1" applyFill="1" applyBorder="1" applyAlignment="1" applyProtection="1">
      <alignment horizontal="right" vertical="center"/>
      <protection locked="0"/>
    </xf>
    <xf numFmtId="0" fontId="29" fillId="15" borderId="37" xfId="0" applyFont="1" applyFill="1" applyBorder="1" applyAlignment="1">
      <alignment horizontal="left" vertical="center" indent="2"/>
    </xf>
    <xf numFmtId="0" fontId="32" fillId="19" borderId="37" xfId="0" applyFont="1" applyFill="1" applyBorder="1" applyAlignment="1">
      <alignment horizontal="left" vertical="center" indent="2"/>
    </xf>
    <xf numFmtId="2" fontId="32" fillId="0" borderId="38" xfId="5" applyNumberFormat="1" applyFont="1" applyFill="1" applyBorder="1" applyAlignment="1" applyProtection="1">
      <alignment horizontal="right" vertical="center"/>
      <protection locked="0"/>
    </xf>
    <xf numFmtId="174" fontId="42" fillId="0" borderId="38" xfId="5" applyNumberFormat="1" applyFont="1" applyFill="1" applyBorder="1" applyProtection="1">
      <protection locked="0"/>
    </xf>
    <xf numFmtId="171" fontId="41" fillId="0" borderId="43" xfId="5" quotePrefix="1" applyNumberFormat="1" applyFont="1" applyFill="1" applyBorder="1" applyAlignment="1" applyProtection="1">
      <alignment vertical="center" wrapText="1"/>
    </xf>
    <xf numFmtId="171" fontId="42" fillId="0" borderId="38" xfId="5" applyNumberFormat="1" applyFont="1" applyFill="1" applyBorder="1" applyAlignment="1" applyProtection="1">
      <alignment vertical="center"/>
      <protection locked="0"/>
    </xf>
    <xf numFmtId="175" fontId="32" fillId="0" borderId="38" xfId="5" applyNumberFormat="1" applyFont="1" applyFill="1" applyBorder="1" applyAlignment="1" applyProtection="1">
      <alignment horizontal="right" vertical="center"/>
      <protection locked="0"/>
    </xf>
    <xf numFmtId="0" fontId="32" fillId="15" borderId="37" xfId="0" applyFont="1" applyFill="1" applyBorder="1" applyAlignment="1">
      <alignment horizontal="left" vertical="center"/>
    </xf>
    <xf numFmtId="167" fontId="32" fillId="15" borderId="38" xfId="5" applyNumberFormat="1" applyFont="1" applyFill="1" applyBorder="1" applyAlignment="1" applyProtection="1">
      <alignment horizontal="right" vertical="center"/>
      <protection locked="0"/>
    </xf>
    <xf numFmtId="1" fontId="32" fillId="0" borderId="38" xfId="8" applyNumberFormat="1" applyFont="1" applyFill="1" applyBorder="1" applyAlignment="1" applyProtection="1">
      <alignment horizontal="right" vertical="center"/>
      <protection locked="0"/>
    </xf>
    <xf numFmtId="0" fontId="36" fillId="0" borderId="37" xfId="0" applyFont="1" applyBorder="1" applyAlignment="1">
      <alignment horizontal="left"/>
    </xf>
    <xf numFmtId="0" fontId="31" fillId="0" borderId="0" xfId="0" applyFont="1" applyAlignment="1"/>
    <xf numFmtId="0" fontId="42" fillId="0" borderId="46" xfId="6" applyFont="1" applyBorder="1"/>
    <xf numFmtId="173" fontId="42" fillId="0" borderId="47" xfId="6" applyNumberFormat="1" applyFont="1" applyBorder="1" applyAlignment="1">
      <alignment horizontal="right"/>
    </xf>
    <xf numFmtId="0" fontId="42" fillId="0" borderId="48" xfId="6" applyFont="1" applyBorder="1"/>
    <xf numFmtId="173" fontId="42" fillId="0" borderId="0" xfId="6" applyNumberFormat="1" applyFont="1"/>
    <xf numFmtId="0" fontId="30" fillId="7" borderId="37" xfId="0" applyFont="1" applyFill="1" applyBorder="1" applyAlignment="1">
      <alignment horizontal="left" vertical="center"/>
    </xf>
    <xf numFmtId="0" fontId="42" fillId="0" borderId="49" xfId="6" applyFont="1" applyBorder="1" applyAlignment="1">
      <alignment horizontal="left" indent="1"/>
    </xf>
    <xf numFmtId="173" fontId="42" fillId="0" borderId="38" xfId="6" applyNumberFormat="1" applyFont="1" applyBorder="1" applyAlignment="1" applyProtection="1">
      <alignment horizontal="right"/>
      <protection locked="0"/>
    </xf>
    <xf numFmtId="173" fontId="42" fillId="0" borderId="44" xfId="6" applyNumberFormat="1" applyFont="1" applyBorder="1" applyAlignment="1" applyProtection="1">
      <alignment horizontal="right"/>
      <protection locked="0"/>
    </xf>
    <xf numFmtId="167" fontId="29" fillId="0" borderId="38" xfId="5" applyNumberFormat="1" applyFont="1" applyFill="1" applyBorder="1" applyAlignment="1" applyProtection="1">
      <alignment horizontal="right" vertical="center"/>
    </xf>
    <xf numFmtId="167" fontId="29" fillId="0" borderId="50" xfId="5" applyNumberFormat="1" applyFont="1" applyFill="1" applyBorder="1" applyAlignment="1" applyProtection="1">
      <alignment horizontal="right" vertical="center"/>
    </xf>
    <xf numFmtId="167" fontId="29" fillId="0" borderId="47" xfId="5" applyNumberFormat="1" applyFont="1" applyFill="1" applyBorder="1" applyAlignment="1" applyProtection="1">
      <alignment horizontal="right" vertical="center"/>
    </xf>
    <xf numFmtId="167" fontId="32" fillId="7" borderId="44" xfId="5" applyNumberFormat="1" applyFont="1" applyFill="1" applyBorder="1" applyAlignment="1" applyProtection="1">
      <alignment horizontal="right" vertical="center"/>
      <protection locked="0"/>
    </xf>
    <xf numFmtId="167" fontId="32" fillId="0" borderId="44" xfId="5" applyNumberFormat="1" applyFont="1" applyFill="1" applyBorder="1" applyAlignment="1" applyProtection="1">
      <alignment horizontal="right" vertical="center"/>
      <protection locked="0"/>
    </xf>
    <xf numFmtId="0" fontId="36" fillId="0" borderId="51" xfId="0" applyFont="1" applyBorder="1" applyAlignment="1">
      <alignment horizontal="left" vertical="center"/>
    </xf>
    <xf numFmtId="167" fontId="32" fillId="0" borderId="52" xfId="5" applyNumberFormat="1" applyFont="1" applyFill="1" applyBorder="1" applyAlignment="1" applyProtection="1">
      <alignment horizontal="right" vertical="center"/>
      <protection locked="0"/>
    </xf>
    <xf numFmtId="167" fontId="32" fillId="7" borderId="53" xfId="5" applyNumberFormat="1" applyFont="1" applyFill="1" applyBorder="1" applyAlignment="1" applyProtection="1">
      <alignment horizontal="right" vertical="center"/>
      <protection locked="0"/>
    </xf>
    <xf numFmtId="167" fontId="32" fillId="0" borderId="54" xfId="5" applyNumberFormat="1" applyFont="1" applyFill="1" applyBorder="1" applyAlignment="1" applyProtection="1">
      <alignment horizontal="right" vertical="center"/>
      <protection locked="0"/>
    </xf>
    <xf numFmtId="0" fontId="42" fillId="0" borderId="0" xfId="6" applyFont="1"/>
    <xf numFmtId="49" fontId="42" fillId="0" borderId="0" xfId="6" applyNumberFormat="1" applyFont="1"/>
    <xf numFmtId="3" fontId="0" fillId="0" borderId="7" xfId="0" applyNumberFormat="1" applyFill="1" applyBorder="1" applyAlignment="1">
      <alignment vertical="center"/>
    </xf>
    <xf numFmtId="0" fontId="36" fillId="0" borderId="37" xfId="0" applyFont="1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3" fontId="0" fillId="0" borderId="3" xfId="0" applyNumberFormat="1" applyFill="1" applyBorder="1"/>
    <xf numFmtId="3" fontId="0" fillId="0" borderId="5" xfId="0" applyNumberFormat="1" applyFill="1" applyBorder="1"/>
    <xf numFmtId="3" fontId="0" fillId="0" borderId="8" xfId="1" applyNumberFormat="1" applyFont="1" applyFill="1" applyBorder="1" applyAlignment="1">
      <alignment vertical="center"/>
    </xf>
    <xf numFmtId="0" fontId="29" fillId="21" borderId="37" xfId="0" applyFont="1" applyFill="1" applyBorder="1" applyAlignment="1">
      <alignment horizontal="center" vertical="center"/>
    </xf>
    <xf numFmtId="0" fontId="29" fillId="21" borderId="37" xfId="0" applyFont="1" applyFill="1" applyBorder="1" applyAlignment="1">
      <alignment horizontal="left" vertical="center" indent="2"/>
    </xf>
    <xf numFmtId="0" fontId="29" fillId="21" borderId="37" xfId="0" applyFont="1" applyFill="1" applyBorder="1" applyAlignment="1">
      <alignment horizontal="left" vertical="center"/>
    </xf>
    <xf numFmtId="3" fontId="0" fillId="0" borderId="8" xfId="0" applyNumberFormat="1" applyFill="1" applyBorder="1" applyAlignment="1">
      <alignment vertical="center"/>
    </xf>
    <xf numFmtId="164" fontId="0" fillId="0" borderId="8" xfId="2" applyNumberFormat="1" applyFont="1" applyFill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164" fontId="0" fillId="0" borderId="3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8" xfId="0" applyNumberFormat="1" applyFill="1" applyBorder="1"/>
    <xf numFmtId="43" fontId="32" fillId="18" borderId="38" xfId="5" applyFont="1" applyFill="1" applyBorder="1" applyAlignment="1" applyProtection="1">
      <alignment horizontal="right" vertical="center"/>
      <protection locked="0"/>
    </xf>
    <xf numFmtId="7" fontId="44" fillId="0" borderId="0" xfId="0" applyNumberFormat="1" applyFont="1" applyFill="1" applyBorder="1" applyAlignment="1">
      <alignment horizontal="right" vertical="top" wrapText="1"/>
    </xf>
    <xf numFmtId="3" fontId="32" fillId="0" borderId="38" xfId="5" applyNumberFormat="1" applyFont="1" applyFill="1" applyBorder="1" applyAlignment="1" applyProtection="1">
      <alignment horizontal="right" vertical="center"/>
      <protection locked="0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9" fontId="8" fillId="5" borderId="14" xfId="3" applyFont="1" applyFill="1" applyBorder="1" applyAlignment="1">
      <alignment vertical="center"/>
    </xf>
    <xf numFmtId="9" fontId="8" fillId="5" borderId="58" xfId="3" applyFont="1" applyFill="1" applyBorder="1" applyAlignment="1">
      <alignment vertical="center"/>
    </xf>
    <xf numFmtId="9" fontId="8" fillId="0" borderId="0" xfId="3" applyFont="1" applyBorder="1" applyAlignment="1">
      <alignment vertical="center"/>
    </xf>
    <xf numFmtId="9" fontId="8" fillId="5" borderId="59" xfId="3" applyFont="1" applyFill="1" applyBorder="1" applyAlignment="1">
      <alignment vertical="center"/>
    </xf>
    <xf numFmtId="9" fontId="8" fillId="0" borderId="57" xfId="3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3" fontId="0" fillId="0" borderId="5" xfId="0" applyNumberFormat="1" applyFont="1" applyFill="1" applyBorder="1" applyAlignment="1">
      <alignment vertical="center"/>
    </xf>
    <xf numFmtId="171" fontId="8" fillId="0" borderId="5" xfId="1" applyNumberFormat="1" applyFont="1" applyFill="1" applyBorder="1"/>
    <xf numFmtId="171" fontId="8" fillId="0" borderId="7" xfId="1" applyNumberFormat="1" applyFont="1" applyFill="1" applyBorder="1"/>
    <xf numFmtId="44" fontId="45" fillId="22" borderId="0" xfId="8" applyFont="1" applyFill="1" applyAlignment="1">
      <alignment vertical="top"/>
    </xf>
    <xf numFmtId="44" fontId="45" fillId="22" borderId="0" xfId="8" applyFont="1" applyFill="1" applyAlignment="1">
      <alignment horizontal="right" vertical="top"/>
    </xf>
    <xf numFmtId="44" fontId="42" fillId="0" borderId="0" xfId="6" applyNumberFormat="1" applyFont="1"/>
    <xf numFmtId="171" fontId="8" fillId="0" borderId="10" xfId="1" applyNumberFormat="1" applyFont="1" applyFill="1" applyBorder="1"/>
    <xf numFmtId="171" fontId="8" fillId="0" borderId="11" xfId="1" applyNumberFormat="1" applyFont="1" applyFill="1" applyBorder="1"/>
    <xf numFmtId="168" fontId="0" fillId="0" borderId="8" xfId="0" applyNumberFormat="1" applyFill="1" applyBorder="1" applyAlignment="1">
      <alignment vertical="center"/>
    </xf>
    <xf numFmtId="0" fontId="32" fillId="0" borderId="38" xfId="5" applyNumberFormat="1" applyFont="1" applyFill="1" applyBorder="1" applyAlignment="1" applyProtection="1">
      <alignment horizontal="right" vertical="center"/>
      <protection locked="0"/>
    </xf>
    <xf numFmtId="0" fontId="32" fillId="7" borderId="38" xfId="5" applyNumberFormat="1" applyFont="1" applyFill="1" applyBorder="1" applyAlignment="1" applyProtection="1">
      <alignment horizontal="right" vertical="center"/>
      <protection locked="0"/>
    </xf>
    <xf numFmtId="176" fontId="32" fillId="0" borderId="38" xfId="5" applyNumberFormat="1" applyFont="1" applyFill="1" applyBorder="1" applyAlignment="1" applyProtection="1">
      <alignment horizontal="right" vertical="center"/>
      <protection locked="0"/>
    </xf>
    <xf numFmtId="176" fontId="32" fillId="0" borderId="38" xfId="5" applyNumberFormat="1" applyFont="1" applyFill="1" applyBorder="1" applyAlignment="1" applyProtection="1">
      <alignment horizontal="right" vertical="center"/>
    </xf>
    <xf numFmtId="1" fontId="0" fillId="0" borderId="8" xfId="3" applyNumberFormat="1" applyFont="1" applyFill="1" applyBorder="1" applyAlignment="1">
      <alignment vertical="center"/>
    </xf>
    <xf numFmtId="0" fontId="0" fillId="0" borderId="8" xfId="3" applyNumberFormat="1" applyFont="1" applyFill="1" applyBorder="1" applyAlignment="1">
      <alignment vertical="center"/>
    </xf>
    <xf numFmtId="171" fontId="0" fillId="0" borderId="7" xfId="1" applyNumberFormat="1" applyFont="1" applyFill="1" applyBorder="1" applyAlignment="1">
      <alignment vertical="center"/>
    </xf>
    <xf numFmtId="171" fontId="8" fillId="0" borderId="13" xfId="1" applyNumberFormat="1" applyFont="1" applyFill="1" applyBorder="1"/>
    <xf numFmtId="171" fontId="8" fillId="0" borderId="0" xfId="1" applyNumberFormat="1" applyFont="1" applyFill="1"/>
    <xf numFmtId="43" fontId="29" fillId="7" borderId="38" xfId="5" applyFont="1" applyFill="1" applyBorder="1" applyAlignment="1" applyProtection="1">
      <alignment horizontal="right" vertical="center"/>
    </xf>
    <xf numFmtId="167" fontId="29" fillId="18" borderId="38" xfId="5" applyNumberFormat="1" applyFont="1" applyFill="1" applyBorder="1" applyAlignment="1" applyProtection="1">
      <alignment horizontal="right" vertical="center"/>
      <protection locked="0"/>
    </xf>
    <xf numFmtId="3" fontId="0" fillId="18" borderId="8" xfId="0" applyNumberForma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7" fontId="32" fillId="0" borderId="45" xfId="5" applyNumberFormat="1" applyFont="1" applyFill="1" applyBorder="1" applyAlignment="1" applyProtection="1">
      <alignment horizontal="right" vertical="center"/>
      <protection locked="0"/>
    </xf>
    <xf numFmtId="39" fontId="32" fillId="0" borderId="38" xfId="5" applyNumberFormat="1" applyFont="1" applyFill="1" applyBorder="1" applyAlignment="1" applyProtection="1">
      <alignment horizontal="right" vertical="center"/>
      <protection locked="0"/>
    </xf>
    <xf numFmtId="3" fontId="0" fillId="7" borderId="7" xfId="0" applyNumberFormat="1" applyFill="1" applyBorder="1" applyAlignment="1">
      <alignment vertical="center"/>
    </xf>
    <xf numFmtId="171" fontId="13" fillId="2" borderId="7" xfId="1" applyNumberFormat="1" applyFont="1" applyFill="1" applyBorder="1"/>
    <xf numFmtId="0" fontId="0" fillId="0" borderId="0" xfId="0" applyFont="1" applyAlignment="1">
      <alignment vertical="center"/>
    </xf>
    <xf numFmtId="1" fontId="29" fillId="6" borderId="0" xfId="0" applyNumberFormat="1" applyFont="1" applyFill="1" applyAlignment="1">
      <alignment horizontal="center"/>
    </xf>
    <xf numFmtId="1" fontId="29" fillId="6" borderId="0" xfId="4" applyNumberFormat="1" applyFont="1" applyFill="1" applyAlignment="1">
      <alignment horizontal="center"/>
    </xf>
    <xf numFmtId="1" fontId="33" fillId="12" borderId="0" xfId="4" applyNumberFormat="1" applyFont="1" applyFill="1" applyAlignment="1">
      <alignment horizontal="center"/>
    </xf>
    <xf numFmtId="167" fontId="2" fillId="8" borderId="19" xfId="1" applyNumberFormat="1" applyFont="1" applyFill="1" applyBorder="1" applyAlignment="1">
      <alignment horizontal="center" vertical="center"/>
    </xf>
    <xf numFmtId="167" fontId="2" fillId="8" borderId="17" xfId="1" applyNumberFormat="1" applyFont="1" applyFill="1" applyBorder="1" applyAlignment="1">
      <alignment horizontal="center" vertical="center"/>
    </xf>
    <xf numFmtId="167" fontId="2" fillId="8" borderId="9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textRotation="255" wrapText="1"/>
    </xf>
    <xf numFmtId="0" fontId="2" fillId="6" borderId="7" xfId="0" applyFont="1" applyFill="1" applyBorder="1" applyAlignment="1">
      <alignment horizontal="center" vertical="center" textRotation="255" wrapText="1"/>
    </xf>
    <xf numFmtId="0" fontId="2" fillId="6" borderId="9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8" fillId="0" borderId="0" xfId="0" quotePrefix="1" applyFont="1" applyAlignment="1">
      <alignment horizontal="justify" vertical="top" wrapText="1"/>
    </xf>
  </cellXfs>
  <cellStyles count="14">
    <cellStyle name="Millares" xfId="1" builtinId="3"/>
    <cellStyle name="Millares 2" xfId="5"/>
    <cellStyle name="Millares 2 2" xfId="7"/>
    <cellStyle name="Millares 2 2 2" xfId="12"/>
    <cellStyle name="Millares 3" xfId="11"/>
    <cellStyle name="Millares 4" xfId="9"/>
    <cellStyle name="Moneda" xfId="2" builtinId="4"/>
    <cellStyle name="Moneda 2" xfId="8"/>
    <cellStyle name="Moneda 3" xfId="13"/>
    <cellStyle name="Normal" xfId="0" builtinId="0"/>
    <cellStyle name="Normal 2_ALDAMA 03 MAR 2009 MODIF_PIGOO CONCENTRADOPROG_INDIC_GESTION ORG  OP rvh" xfId="6"/>
    <cellStyle name="Normal 3" xfId="10"/>
    <cellStyle name="Normal_FORMATO DEL PPTO. 2002  SEPT. 4" xfId="4"/>
    <cellStyle name="Porcentual" xfId="3" builtinId="5"/>
  </cellStyles>
  <dxfs count="0"/>
  <tableStyles count="0" defaultTableStyle="TableStyleMedium2" defaultPivotStyle="PivotStyleLight16"/>
  <colors>
    <mruColors>
      <color rgb="FFEA38F8"/>
      <color rgb="FF5D26F8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135392992077108E-2"/>
          <c:y val="0.11783958695317492"/>
          <c:w val="0.94133384164968203"/>
          <c:h val="0.55284773846965962"/>
        </c:manualLayout>
      </c:layout>
      <c:barChart>
        <c:barDir val="col"/>
        <c:grouping val="clustered"/>
        <c:ser>
          <c:idx val="0"/>
          <c:order val="0"/>
          <c:tx>
            <c:strRef>
              <c:f>graficos!$A$4</c:f>
              <c:strCache>
                <c:ptCount val="1"/>
                <c:pt idx="0">
                  <c:v>Eficiencia Física</c:v>
                </c:pt>
              </c:strCache>
            </c:strRef>
          </c:tx>
          <c:spPr>
            <a:solidFill>
              <a:srgbClr val="EA38F8">
                <a:alpha val="87843"/>
              </a:srgb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graficos!$B$4:$M$4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CE-472D-8551-80AA0CC26EF2}"/>
            </c:ext>
          </c:extLst>
        </c:ser>
        <c:dLbls>
          <c:showVal val="1"/>
        </c:dLbls>
        <c:gapWidth val="84"/>
        <c:axId val="71857664"/>
        <c:axId val="71859200"/>
      </c:barChart>
      <c:lineChart>
        <c:grouping val="standard"/>
        <c:ser>
          <c:idx val="1"/>
          <c:order val="1"/>
          <c:tx>
            <c:strRef>
              <c:f>graficos!$A$5</c:f>
              <c:strCache>
                <c:ptCount val="1"/>
                <c:pt idx="0">
                  <c:v>Saltillo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E-472D-8551-80AA0CC26EF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E-472D-8551-80AA0CC26EF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E-472D-8551-80AA0CC26EF2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CE-472D-8551-80AA0CC26EF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E-472D-8551-80AA0CC26EF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CE-472D-8551-80AA0CC26EF2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E-472D-8551-80AA0CC26EF2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CE-472D-8551-80AA0CC26EF2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E-472D-8551-80AA0CC26EF2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CE-472D-8551-80AA0CC26EF2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E-472D-8551-80AA0CC26EF2}"/>
                </c:ext>
              </c:extLst>
            </c:dLbl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graficos!$B$5:$M$5</c:f>
              <c:numCache>
                <c:formatCode>0%</c:formatCode>
                <c:ptCount val="12"/>
                <c:pt idx="0">
                  <c:v>0.74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0.74</c:v>
                </c:pt>
                <c:pt idx="5">
                  <c:v>0.74</c:v>
                </c:pt>
                <c:pt idx="6">
                  <c:v>0.74</c:v>
                </c:pt>
                <c:pt idx="7">
                  <c:v>0.74</c:v>
                </c:pt>
                <c:pt idx="8">
                  <c:v>0.74</c:v>
                </c:pt>
                <c:pt idx="9">
                  <c:v>0.74</c:v>
                </c:pt>
                <c:pt idx="10">
                  <c:v>0.74</c:v>
                </c:pt>
                <c:pt idx="11">
                  <c:v>0.74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CE-472D-8551-80AA0CC26EF2}"/>
            </c:ext>
          </c:extLst>
        </c:ser>
        <c:dLbls/>
        <c:marker val="1"/>
        <c:axId val="71857664"/>
        <c:axId val="71859200"/>
      </c:lineChart>
      <c:catAx>
        <c:axId val="71857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859200"/>
        <c:crosses val="autoZero"/>
        <c:auto val="1"/>
        <c:lblAlgn val="ctr"/>
        <c:lblOffset val="100"/>
      </c:catAx>
      <c:valAx>
        <c:axId val="71859200"/>
        <c:scaling>
          <c:orientation val="minMax"/>
        </c:scaling>
        <c:delete val="1"/>
        <c:axPos val="l"/>
        <c:numFmt formatCode="0%" sourceLinked="1"/>
        <c:tickLblPos val="none"/>
        <c:crossAx val="7185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graficos!$A$25</c:f>
              <c:strCache>
                <c:ptCount val="1"/>
                <c:pt idx="0">
                  <c:v>Eficiencia Comercial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dLbls>
            <c:spPr>
              <a:solidFill>
                <a:schemeClr val="accent5"/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graficos!$B$25:$M$25</c:f>
              <c:numCache>
                <c:formatCode>0%</c:formatCode>
                <c:ptCount val="12"/>
                <c:pt idx="0">
                  <c:v>0.61432426910959859</c:v>
                </c:pt>
                <c:pt idx="1">
                  <c:v>0.6867660401814647</c:v>
                </c:pt>
                <c:pt idx="2">
                  <c:v>0.7003442764047707</c:v>
                </c:pt>
                <c:pt idx="3">
                  <c:v>0.60419830185854528</c:v>
                </c:pt>
                <c:pt idx="4">
                  <c:v>0.67010276746363173</c:v>
                </c:pt>
                <c:pt idx="5">
                  <c:v>0.49238241562174756</c:v>
                </c:pt>
                <c:pt idx="6">
                  <c:v>0.62675365163674157</c:v>
                </c:pt>
                <c:pt idx="7">
                  <c:v>0.57212490326730381</c:v>
                </c:pt>
                <c:pt idx="8">
                  <c:v>0.52110065105475334</c:v>
                </c:pt>
                <c:pt idx="9">
                  <c:v>0.62545331652216862</c:v>
                </c:pt>
                <c:pt idx="10">
                  <c:v>0.40105814273904655</c:v>
                </c:pt>
                <c:pt idx="11">
                  <c:v>0.85777247165937698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4-4EA0-B0A8-7930B6D1A252}"/>
            </c:ext>
          </c:extLst>
        </c:ser>
        <c:dLbls>
          <c:showVal val="1"/>
        </c:dLbls>
        <c:gapWidth val="84"/>
        <c:axId val="74637696"/>
        <c:axId val="74639232"/>
      </c:barChart>
      <c:lineChart>
        <c:grouping val="standard"/>
        <c:ser>
          <c:idx val="1"/>
          <c:order val="1"/>
          <c:tx>
            <c:strRef>
              <c:f>graficos!$A$26</c:f>
              <c:strCache>
                <c:ptCount val="1"/>
                <c:pt idx="0">
                  <c:v>Monterrey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84-4EA0-B0A8-7930B6D1A25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4-4EA0-B0A8-7930B6D1A25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84-4EA0-B0A8-7930B6D1A252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4-4EA0-B0A8-7930B6D1A25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84-4EA0-B0A8-7930B6D1A25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84-4EA0-B0A8-7930B6D1A252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84-4EA0-B0A8-7930B6D1A252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84-4EA0-B0A8-7930B6D1A252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84-4EA0-B0A8-7930B6D1A252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84-4EA0-B0A8-7930B6D1A252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84-4EA0-B0A8-7930B6D1A252}"/>
                </c:ext>
              </c:extLst>
            </c:dLbl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graficos!$B$26:$M$26</c:f>
              <c:numCache>
                <c:formatCode>0%</c:formatCode>
                <c:ptCount val="12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84-4EA0-B0A8-7930B6D1A252}"/>
            </c:ext>
          </c:extLst>
        </c:ser>
        <c:dLbls/>
        <c:marker val="1"/>
        <c:axId val="74637696"/>
        <c:axId val="74639232"/>
      </c:lineChart>
      <c:catAx>
        <c:axId val="74637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39232"/>
        <c:crosses val="autoZero"/>
        <c:auto val="1"/>
        <c:lblAlgn val="ctr"/>
        <c:lblOffset val="100"/>
      </c:catAx>
      <c:valAx>
        <c:axId val="74639232"/>
        <c:scaling>
          <c:orientation val="minMax"/>
        </c:scaling>
        <c:delete val="1"/>
        <c:axPos val="l"/>
        <c:numFmt formatCode="0%" sourceLinked="1"/>
        <c:tickLblPos val="none"/>
        <c:crossAx val="746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3.1764231718226232E-2"/>
          <c:y val="1.8518518518518583E-2"/>
          <c:w val="0.94077010036666753"/>
          <c:h val="0.69234361329834826"/>
        </c:manualLayout>
      </c:layout>
      <c:barChart>
        <c:barDir val="col"/>
        <c:grouping val="clustered"/>
        <c:ser>
          <c:idx val="0"/>
          <c:order val="0"/>
          <c:tx>
            <c:strRef>
              <c:f>graficos!$A$47</c:f>
              <c:strCache>
                <c:ptCount val="1"/>
                <c:pt idx="0">
                  <c:v>Eficiencia Cobranza</c:v>
                </c:pt>
              </c:strCache>
            </c:strRef>
          </c:tx>
          <c:spPr>
            <a:solidFill>
              <a:srgbClr val="00B0F0">
                <a:alpha val="88000"/>
              </a:srgb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dLbls>
            <c:spPr>
              <a:solidFill>
                <a:srgbClr val="0070C0">
                  <a:alpha val="60000"/>
                </a:srgb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graficos!$B$46:$M$46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graficos!$B$47:$M$47</c:f>
              <c:numCache>
                <c:formatCode>0%</c:formatCode>
                <c:ptCount val="12"/>
                <c:pt idx="0">
                  <c:v>0.39340527035839901</c:v>
                </c:pt>
                <c:pt idx="1">
                  <c:v>0.40376307205421985</c:v>
                </c:pt>
                <c:pt idx="2">
                  <c:v>0.35712803565261869</c:v>
                </c:pt>
                <c:pt idx="3">
                  <c:v>0.30096026129301628</c:v>
                </c:pt>
                <c:pt idx="4">
                  <c:v>0.33956143069749473</c:v>
                </c:pt>
                <c:pt idx="5">
                  <c:v>0.34051915633687124</c:v>
                </c:pt>
                <c:pt idx="6">
                  <c:v>0.37077459844565025</c:v>
                </c:pt>
                <c:pt idx="7">
                  <c:v>0.30157100653492314</c:v>
                </c:pt>
                <c:pt idx="8">
                  <c:v>0.24674543067388532</c:v>
                </c:pt>
                <c:pt idx="9">
                  <c:v>6.2457254810146481E-2</c:v>
                </c:pt>
                <c:pt idx="10">
                  <c:v>0.2442455289110172</c:v>
                </c:pt>
                <c:pt idx="11">
                  <c:v>0.37435294788448059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5-474A-9775-FE47CD99C6D6}"/>
            </c:ext>
          </c:extLst>
        </c:ser>
        <c:dLbls>
          <c:showVal val="1"/>
        </c:dLbls>
        <c:gapWidth val="84"/>
        <c:axId val="71609344"/>
        <c:axId val="74646272"/>
      </c:barChart>
      <c:lineChart>
        <c:grouping val="standard"/>
        <c:ser>
          <c:idx val="1"/>
          <c:order val="1"/>
          <c:tx>
            <c:strRef>
              <c:f>graficos!$A$48</c:f>
              <c:strCache>
                <c:ptCount val="1"/>
                <c:pt idx="0">
                  <c:v>Monterrey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C5-474A-9775-FE47CD99C6D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C5-474A-9775-FE47CD99C6D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C5-474A-9775-FE47CD99C6D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C5-474A-9775-FE47CD99C6D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C5-474A-9775-FE47CD99C6D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C5-474A-9775-FE47CD99C6D6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C5-474A-9775-FE47CD99C6D6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C5-474A-9775-FE47CD99C6D6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C5-474A-9775-FE47CD99C6D6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C5-474A-9775-FE47CD99C6D6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C5-474A-9775-FE47CD99C6D6}"/>
                </c:ext>
              </c:extLst>
            </c:dLbl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graficos!$B$48:$M$48</c:f>
              <c:numCache>
                <c:formatCode>0%</c:formatCode>
                <c:ptCount val="12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5-474A-9775-FE47CD99C6D6}"/>
            </c:ext>
          </c:extLst>
        </c:ser>
        <c:dLbls/>
        <c:marker val="1"/>
        <c:axId val="71609344"/>
        <c:axId val="74646272"/>
      </c:lineChart>
      <c:catAx>
        <c:axId val="71609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46272"/>
        <c:crosses val="autoZero"/>
        <c:auto val="1"/>
        <c:lblAlgn val="ctr"/>
        <c:lblOffset val="100"/>
      </c:catAx>
      <c:valAx>
        <c:axId val="74646272"/>
        <c:scaling>
          <c:orientation val="minMax"/>
        </c:scaling>
        <c:delete val="1"/>
        <c:axPos val="l"/>
        <c:numFmt formatCode="0%" sourceLinked="1"/>
        <c:tickLblPos val="none"/>
        <c:crossAx val="716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81557501942227"/>
          <c:y val="0.90798556430446198"/>
          <c:w val="0.47436865335653638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graficos!$A$69</c:f>
              <c:strCache>
                <c:ptCount val="1"/>
                <c:pt idx="0">
                  <c:v>Dotación l/h/d</c:v>
                </c:pt>
              </c:strCache>
            </c:strRef>
          </c:tx>
          <c:spPr>
            <a:solidFill>
              <a:schemeClr val="accent4">
                <a:lumMod val="75000"/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dLbls>
            <c:spPr>
              <a:solidFill>
                <a:schemeClr val="tx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graficos!$B$68:$M$68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graficos!$B$69:$M$69</c:f>
              <c:numCache>
                <c:formatCode>_(* #,##0_);_(* \(#,##0\);_(* "-"??_);_(@_)</c:formatCode>
                <c:ptCount val="12"/>
                <c:pt idx="0">
                  <c:v>5.4012612174560033</c:v>
                </c:pt>
                <c:pt idx="1">
                  <c:v>4.8949040006537361</c:v>
                </c:pt>
                <c:pt idx="2">
                  <c:v>5.5664727808094314</c:v>
                </c:pt>
                <c:pt idx="3">
                  <c:v>5.3849657985257542</c:v>
                </c:pt>
                <c:pt idx="4">
                  <c:v>5.501925991540265</c:v>
                </c:pt>
                <c:pt idx="5">
                  <c:v>5.935235994912782</c:v>
                </c:pt>
                <c:pt idx="6">
                  <c:v>5.9986893686260228</c:v>
                </c:pt>
                <c:pt idx="7">
                  <c:v>5.7928450723556111</c:v>
                </c:pt>
                <c:pt idx="8">
                  <c:v>5.5801228395237308</c:v>
                </c:pt>
                <c:pt idx="9">
                  <c:v>5.2144635147404275</c:v>
                </c:pt>
                <c:pt idx="10">
                  <c:v>4.2278852400694733</c:v>
                </c:pt>
                <c:pt idx="11">
                  <c:v>4.579189076747558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B8-480E-89E6-27E58CF8C0A4}"/>
            </c:ext>
          </c:extLst>
        </c:ser>
        <c:dLbls>
          <c:showVal val="1"/>
        </c:dLbls>
        <c:gapWidth val="84"/>
        <c:axId val="74692480"/>
        <c:axId val="74694016"/>
      </c:barChart>
      <c:lineChart>
        <c:grouping val="standard"/>
        <c:ser>
          <c:idx val="1"/>
          <c:order val="1"/>
          <c:tx>
            <c:strRef>
              <c:f>graficos!$A$70</c:f>
              <c:strCache>
                <c:ptCount val="1"/>
                <c:pt idx="0">
                  <c:v>Consumo l/h/d</c:v>
                </c:pt>
              </c:strCache>
            </c:strRef>
          </c:tx>
          <c:spPr>
            <a:ln w="28575" cap="rnd">
              <a:solidFill>
                <a:srgbClr val="5D26F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6">
                  <a:lumMod val="50000"/>
                  <a:alpha val="48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graficos!$B$68:$M$68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graficos!$B$70:$M$70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B8-480E-89E6-27E58CF8C0A4}"/>
            </c:ext>
          </c:extLst>
        </c:ser>
        <c:dLbls/>
        <c:marker val="1"/>
        <c:axId val="74692480"/>
        <c:axId val="74694016"/>
      </c:lineChart>
      <c:catAx>
        <c:axId val="746924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94016"/>
        <c:crosses val="autoZero"/>
        <c:auto val="1"/>
        <c:lblAlgn val="ctr"/>
        <c:lblOffset val="100"/>
      </c:catAx>
      <c:valAx>
        <c:axId val="74694016"/>
        <c:scaling>
          <c:orientation val="minMax"/>
        </c:scaling>
        <c:delete val="1"/>
        <c:axPos val="l"/>
        <c:numFmt formatCode="_(* #,##0_);_(* \(#,##0\);_(* &quot;-&quot;??_);_(@_)" sourceLinked="1"/>
        <c:tickLblPos val="none"/>
        <c:crossAx val="7469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lineChart>
        <c:grouping val="standard"/>
        <c:ser>
          <c:idx val="0"/>
          <c:order val="0"/>
          <c:tx>
            <c:strRef>
              <c:f>graficos!$A$94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graficos!$B$93:$M$93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graficos!$B$94:$M$94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28-4C06-85AE-6EAC3D062D7E}"/>
            </c:ext>
          </c:extLst>
        </c:ser>
        <c:ser>
          <c:idx val="1"/>
          <c:order val="1"/>
          <c:tx>
            <c:strRef>
              <c:f>graficos!$A$95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graficos!$B$93:$M$93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graficos!$B$95:$M$95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28-4C06-85AE-6EAC3D062D7E}"/>
            </c:ext>
          </c:extLst>
        </c:ser>
        <c:ser>
          <c:idx val="2"/>
          <c:order val="2"/>
          <c:tx>
            <c:strRef>
              <c:f>graficos!$A$96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graficos!$B$93:$M$93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graficos!$B$96:$M$96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28-4C06-85AE-6EAC3D062D7E}"/>
            </c:ext>
          </c:extLst>
        </c:ser>
        <c:ser>
          <c:idx val="3"/>
          <c:order val="3"/>
          <c:tx>
            <c:strRef>
              <c:f>graficos!$A$97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graficos!$B$93:$M$93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graficos!$B$97:$M$97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3.4289999999999998</c:v>
                </c:pt>
                <c:pt idx="2">
                  <c:v>3.351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3.379</c:v>
                </c:pt>
                <c:pt idx="7">
                  <c:v>3.0779999999999998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28-4C06-85AE-6EAC3D062D7E}"/>
            </c:ext>
          </c:extLst>
        </c:ser>
        <c:ser>
          <c:idx val="4"/>
          <c:order val="4"/>
          <c:tx>
            <c:strRef>
              <c:f>graficos!$A$98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graficos!$B$93:$M$93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graficos!$B$98:$M$98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3.6989999999999998</c:v>
                </c:pt>
                <c:pt idx="3">
                  <c:v>0</c:v>
                </c:pt>
                <c:pt idx="4">
                  <c:v>0</c:v>
                </c:pt>
                <c:pt idx="5">
                  <c:v>4.2910000000000004</c:v>
                </c:pt>
                <c:pt idx="6">
                  <c:v>4.7539999999999996</c:v>
                </c:pt>
                <c:pt idx="7">
                  <c:v>5.327</c:v>
                </c:pt>
                <c:pt idx="8">
                  <c:v>3.5350000000000001</c:v>
                </c:pt>
                <c:pt idx="9">
                  <c:v>3.1520000000000001</c:v>
                </c:pt>
                <c:pt idx="10">
                  <c:v>4.1310000000000002</c:v>
                </c:pt>
                <c:pt idx="11">
                  <c:v>3.5070000000000001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28-4C06-85AE-6EAC3D062D7E}"/>
            </c:ext>
          </c:extLst>
        </c:ser>
        <c:dLbls/>
        <c:marker val="1"/>
        <c:axId val="75047296"/>
        <c:axId val="75048832"/>
      </c:lineChart>
      <c:catAx>
        <c:axId val="75047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048832"/>
        <c:crosses val="autoZero"/>
        <c:auto val="1"/>
        <c:lblAlgn val="ctr"/>
        <c:lblOffset val="100"/>
      </c:catAx>
      <c:valAx>
        <c:axId val="7504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04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graficos!$A$119</c:f>
              <c:strCache>
                <c:ptCount val="1"/>
                <c:pt idx="0">
                  <c:v>Padron Usuarios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graficos!$B$118:$M$118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graficos!$B$119:$M$119</c:f>
              <c:numCache>
                <c:formatCode>_(* #,##0_);_(* \(#,##0\);_(* "-"??_);_(@_)</c:formatCode>
                <c:ptCount val="12"/>
                <c:pt idx="0">
                  <c:v>6.8970000000000002</c:v>
                </c:pt>
                <c:pt idx="1">
                  <c:v>6.9059999999999997</c:v>
                </c:pt>
                <c:pt idx="2">
                  <c:v>6.92</c:v>
                </c:pt>
                <c:pt idx="3">
                  <c:v>6.9279999999999999</c:v>
                </c:pt>
                <c:pt idx="4">
                  <c:v>7.1870000000000003</c:v>
                </c:pt>
                <c:pt idx="5">
                  <c:v>7.2</c:v>
                </c:pt>
                <c:pt idx="6">
                  <c:v>7.2030000000000003</c:v>
                </c:pt>
                <c:pt idx="7">
                  <c:v>7.21</c:v>
                </c:pt>
                <c:pt idx="8">
                  <c:v>7.22</c:v>
                </c:pt>
                <c:pt idx="9">
                  <c:v>7.234</c:v>
                </c:pt>
                <c:pt idx="10">
                  <c:v>7.2329999999999997</c:v>
                </c:pt>
                <c:pt idx="11">
                  <c:v>7.2389999999999999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4-42A8-ADDD-E75F9E71DB88}"/>
            </c:ext>
          </c:extLst>
        </c:ser>
        <c:dLbls>
          <c:showVal val="1"/>
        </c:dLbls>
        <c:axId val="76185984"/>
        <c:axId val="76187520"/>
      </c:barChart>
      <c:lineChart>
        <c:grouping val="standard"/>
        <c:ser>
          <c:idx val="1"/>
          <c:order val="1"/>
          <c:tx>
            <c:strRef>
              <c:f>graficos!$A$120</c:f>
              <c:strCache>
                <c:ptCount val="1"/>
                <c:pt idx="0">
                  <c:v>Con  Medición</c:v>
                </c:pt>
              </c:strCache>
            </c:strRef>
          </c:tx>
          <c:spPr>
            <a:ln w="15875" cap="rnd">
              <a:solidFill>
                <a:srgbClr val="5D26F8">
                  <a:alpha val="82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366163636424611E-3"/>
                  <c:y val="-3.35957949704185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24-42A8-ADDD-E75F9E71DB88}"/>
                </c:ext>
              </c:extLst>
            </c:dLbl>
            <c:dLbl>
              <c:idx val="1"/>
              <c:layout>
                <c:manualLayout>
                  <c:x val="2.366163636424611E-3"/>
                  <c:y val="-3.35957949704185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24-42A8-ADDD-E75F9E71DB88}"/>
                </c:ext>
              </c:extLst>
            </c:dLbl>
            <c:dLbl>
              <c:idx val="2"/>
              <c:layout>
                <c:manualLayout>
                  <c:x val="-4.3379165547964242E-17"/>
                  <c:y val="-3.77952693417208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24-42A8-ADDD-E75F9E71DB88}"/>
                </c:ext>
              </c:extLst>
            </c:dLbl>
            <c:dLbl>
              <c:idx val="3"/>
              <c:layout>
                <c:manualLayout>
                  <c:x val="2.3661636364245681E-3"/>
                  <c:y val="-3.77952693417208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24-42A8-ADDD-E75F9E71DB88}"/>
                </c:ext>
              </c:extLst>
            </c:dLbl>
            <c:dLbl>
              <c:idx val="4"/>
              <c:layout>
                <c:manualLayout>
                  <c:x val="4.7323272728492334E-3"/>
                  <c:y val="-3.35957949704185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24-42A8-ADDD-E75F9E71DB88}"/>
                </c:ext>
              </c:extLst>
            </c:dLbl>
            <c:dLbl>
              <c:idx val="5"/>
              <c:layout>
                <c:manualLayout>
                  <c:x val="0"/>
                  <c:y val="-3.77952693417208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24-42A8-ADDD-E75F9E71DB88}"/>
                </c:ext>
              </c:extLst>
            </c:dLbl>
            <c:dLbl>
              <c:idx val="6"/>
              <c:layout>
                <c:manualLayout>
                  <c:x val="-2.366163636424611E-3"/>
                  <c:y val="-3.77952693417208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24-42A8-ADDD-E75F9E71DB88}"/>
                </c:ext>
              </c:extLst>
            </c:dLbl>
            <c:dLbl>
              <c:idx val="7"/>
              <c:layout>
                <c:manualLayout>
                  <c:x val="-8.6758331095931098E-17"/>
                  <c:y val="-4.19947437130231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24-42A8-ADDD-E75F9E71DB88}"/>
                </c:ext>
              </c:extLst>
            </c:dLbl>
            <c:dLbl>
              <c:idx val="8"/>
              <c:layout>
                <c:manualLayout>
                  <c:x val="2.3661636364244376E-3"/>
                  <c:y val="-3.779526934172080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24-42A8-ADDD-E75F9E71DB88}"/>
                </c:ext>
              </c:extLst>
            </c:dLbl>
            <c:dLbl>
              <c:idx val="9"/>
              <c:layout>
                <c:manualLayout>
                  <c:x val="0"/>
                  <c:y val="-3.77952693417208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24-42A8-ADDD-E75F9E71DB88}"/>
                </c:ext>
              </c:extLst>
            </c:dLbl>
            <c:dLbl>
              <c:idx val="10"/>
              <c:layout>
                <c:manualLayout>
                  <c:x val="-1.7351666219186153E-16"/>
                  <c:y val="-4.199474371302310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24-42A8-ADDD-E75F9E71DB88}"/>
                </c:ext>
              </c:extLst>
            </c:dLbl>
            <c:dLbl>
              <c:idx val="11"/>
              <c:layout>
                <c:manualLayout>
                  <c:x val="0"/>
                  <c:y val="-4.19947437130231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24-42A8-ADDD-E75F9E71DB88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graficos!$B$120:$M$120</c:f>
              <c:numCache>
                <c:formatCode>_(* #,##0_);_(* \(#,##0\);_(* "-"??_);_(@_)</c:formatCode>
                <c:ptCount val="12"/>
                <c:pt idx="0">
                  <c:v>6.8970000000000002</c:v>
                </c:pt>
                <c:pt idx="1">
                  <c:v>6.9059999999999997</c:v>
                </c:pt>
                <c:pt idx="2">
                  <c:v>6.92</c:v>
                </c:pt>
                <c:pt idx="3">
                  <c:v>6.9279999999999999</c:v>
                </c:pt>
                <c:pt idx="4">
                  <c:v>7.1870000000000003</c:v>
                </c:pt>
                <c:pt idx="5">
                  <c:v>7.2</c:v>
                </c:pt>
                <c:pt idx="6">
                  <c:v>7.2030000000000003</c:v>
                </c:pt>
                <c:pt idx="7">
                  <c:v>7.21</c:v>
                </c:pt>
                <c:pt idx="8">
                  <c:v>7.22</c:v>
                </c:pt>
                <c:pt idx="9">
                  <c:v>7.234</c:v>
                </c:pt>
                <c:pt idx="10">
                  <c:v>7.2329999999999997</c:v>
                </c:pt>
                <c:pt idx="11">
                  <c:v>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24-42A8-ADDD-E75F9E71DB88}"/>
            </c:ext>
          </c:extLst>
        </c:ser>
        <c:ser>
          <c:idx val="2"/>
          <c:order val="2"/>
          <c:tx>
            <c:strRef>
              <c:f>graficos!$A$121</c:f>
              <c:strCache>
                <c:ptCount val="1"/>
                <c:pt idx="0">
                  <c:v>Servicio Continuo</c:v>
                </c:pt>
              </c:strCache>
            </c:strRef>
          </c:tx>
          <c:spPr>
            <a:ln w="15875" cap="rnd">
              <a:solidFill>
                <a:srgbClr val="FF0000">
                  <a:alpha val="9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4.19947437130231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24-42A8-ADDD-E75F9E71DB88}"/>
                </c:ext>
              </c:extLst>
            </c:dLbl>
            <c:dLbl>
              <c:idx val="1"/>
              <c:layout>
                <c:manualLayout>
                  <c:x val="7.0984909092739034E-3"/>
                  <c:y val="-3.77952693417208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24-42A8-ADDD-E75F9E71DB88}"/>
                </c:ext>
              </c:extLst>
            </c:dLbl>
            <c:dLbl>
              <c:idx val="2"/>
              <c:layout>
                <c:manualLayout>
                  <c:x val="2.366163636424611E-3"/>
                  <c:y val="-3.35957949704185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24-42A8-ADDD-E75F9E71DB88}"/>
                </c:ext>
              </c:extLst>
            </c:dLbl>
            <c:dLbl>
              <c:idx val="3"/>
              <c:layout>
                <c:manualLayout>
                  <c:x val="9.4646545456986558E-3"/>
                  <c:y val="-3.77952693417208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24-42A8-ADDD-E75F9E71DB88}"/>
                </c:ext>
              </c:extLst>
            </c:dLbl>
            <c:dLbl>
              <c:idx val="4"/>
              <c:layout>
                <c:manualLayout>
                  <c:x val="0"/>
                  <c:y val="-4.19947437130231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24-42A8-ADDD-E75F9E71DB88}"/>
                </c:ext>
              </c:extLst>
            </c:dLbl>
            <c:dLbl>
              <c:idx val="5"/>
              <c:layout>
                <c:manualLayout>
                  <c:x val="0"/>
                  <c:y val="-2.93963205991161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24-42A8-ADDD-E75F9E71DB88}"/>
                </c:ext>
              </c:extLst>
            </c:dLbl>
            <c:dLbl>
              <c:idx val="6"/>
              <c:layout>
                <c:manualLayout>
                  <c:x val="7.0984909092737533E-3"/>
                  <c:y val="-3.77952693417208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24-42A8-ADDD-E75F9E71DB88}"/>
                </c:ext>
              </c:extLst>
            </c:dLbl>
            <c:dLbl>
              <c:idx val="7"/>
              <c:layout>
                <c:manualLayout>
                  <c:x val="2.3661636364245243E-3"/>
                  <c:y val="-3.359579497041858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24-42A8-ADDD-E75F9E71DB88}"/>
                </c:ext>
              </c:extLst>
            </c:dLbl>
            <c:dLbl>
              <c:idx val="8"/>
              <c:layout>
                <c:manualLayout>
                  <c:x val="7.0984909092739034E-3"/>
                  <c:y val="-4.61942180843254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24-42A8-ADDD-E75F9E71DB88}"/>
                </c:ext>
              </c:extLst>
            </c:dLbl>
            <c:dLbl>
              <c:idx val="9"/>
              <c:layout>
                <c:manualLayout>
                  <c:x val="4.7323272728492334E-3"/>
                  <c:y val="-3.359579497041858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24-42A8-ADDD-E75F9E71DB88}"/>
                </c:ext>
              </c:extLst>
            </c:dLbl>
            <c:dLbl>
              <c:idx val="10"/>
              <c:layout>
                <c:manualLayout>
                  <c:x val="7.0984909092739034E-3"/>
                  <c:y val="-5.03936924556294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24-42A8-ADDD-E75F9E71DB88}"/>
                </c:ext>
              </c:extLst>
            </c:dLbl>
            <c:dLbl>
              <c:idx val="11"/>
              <c:layout>
                <c:manualLayout>
                  <c:x val="2.3661636364244376E-3"/>
                  <c:y val="-2.93963205991161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24-42A8-ADDD-E75F9E71DB88}"/>
                </c:ext>
              </c:extLst>
            </c:dLbl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graficos!$B$121:$M$121</c:f>
              <c:numCache>
                <c:formatCode>_(* #,##0_);_(* \(#,##0\);_(* "-"??_);_(@_)</c:formatCode>
                <c:ptCount val="12"/>
                <c:pt idx="0">
                  <c:v>6.8970000000000002</c:v>
                </c:pt>
                <c:pt idx="1">
                  <c:v>6.9059999999999997</c:v>
                </c:pt>
                <c:pt idx="2">
                  <c:v>6.92</c:v>
                </c:pt>
                <c:pt idx="3">
                  <c:v>6.9279999999999999</c:v>
                </c:pt>
                <c:pt idx="4">
                  <c:v>7.1870000000000003</c:v>
                </c:pt>
                <c:pt idx="5">
                  <c:v>7.2</c:v>
                </c:pt>
                <c:pt idx="6">
                  <c:v>7.2030000000000003</c:v>
                </c:pt>
                <c:pt idx="7">
                  <c:v>7.21</c:v>
                </c:pt>
                <c:pt idx="8">
                  <c:v>7.22</c:v>
                </c:pt>
                <c:pt idx="9">
                  <c:v>7.234</c:v>
                </c:pt>
                <c:pt idx="10">
                  <c:v>7.2329999999999997</c:v>
                </c:pt>
                <c:pt idx="11">
                  <c:v>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24-42A8-ADDD-E75F9E71DB88}"/>
            </c:ext>
          </c:extLst>
        </c:ser>
        <c:dLbls>
          <c:showVal val="1"/>
        </c:dLbls>
        <c:marker val="1"/>
        <c:axId val="76185984"/>
        <c:axId val="76187520"/>
      </c:lineChart>
      <c:catAx>
        <c:axId val="76185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187520"/>
        <c:crosses val="autoZero"/>
        <c:auto val="1"/>
        <c:lblAlgn val="ctr"/>
        <c:lblOffset val="100"/>
      </c:catAx>
      <c:valAx>
        <c:axId val="76187520"/>
        <c:scaling>
          <c:orientation val="minMax"/>
          <c:max val="3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18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lineChart>
        <c:grouping val="standard"/>
        <c:ser>
          <c:idx val="0"/>
          <c:order val="0"/>
          <c:tx>
            <c:strRef>
              <c:f>graficos!$A$145</c:f>
              <c:strCache>
                <c:ptCount val="1"/>
                <c:pt idx="0">
                  <c:v>No. Empleados X cada 1,000 Tomas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graficos!$B$144:$M$144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graficos!$B$145:$M$145</c:f>
              <c:numCache>
                <c:formatCode>#,##0.00</c:formatCode>
                <c:ptCount val="12"/>
                <c:pt idx="0">
                  <c:v>3.6247643903146294</c:v>
                </c:pt>
                <c:pt idx="1">
                  <c:v>3.6200405444540982</c:v>
                </c:pt>
                <c:pt idx="2">
                  <c:v>3.6127167630057806</c:v>
                </c:pt>
                <c:pt idx="3">
                  <c:v>3.6085450346420322</c:v>
                </c:pt>
                <c:pt idx="4">
                  <c:v>3.4785028523723387</c:v>
                </c:pt>
                <c:pt idx="5">
                  <c:v>3.4722222222222223</c:v>
                </c:pt>
                <c:pt idx="6">
                  <c:v>3.6096071081493819</c:v>
                </c:pt>
                <c:pt idx="7">
                  <c:v>3.606102635228849</c:v>
                </c:pt>
                <c:pt idx="8">
                  <c:v>3.6011080332409975</c:v>
                </c:pt>
                <c:pt idx="9">
                  <c:v>3.5941387890517005</c:v>
                </c:pt>
                <c:pt idx="10">
                  <c:v>3.5946356974975808</c:v>
                </c:pt>
                <c:pt idx="11">
                  <c:v>3.59165630611963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46-49D3-B37E-8B2D21032341}"/>
            </c:ext>
          </c:extLst>
        </c:ser>
        <c:ser>
          <c:idx val="1"/>
          <c:order val="1"/>
          <c:tx>
            <c:strRef>
              <c:f>graficos!$A$146</c:f>
              <c:strCache>
                <c:ptCount val="1"/>
                <c:pt idx="0">
                  <c:v>Saltillo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46-49D3-B37E-8B2D2103234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46-49D3-B37E-8B2D2103234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46-49D3-B37E-8B2D2103234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46-49D3-B37E-8B2D2103234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46-49D3-B37E-8B2D2103234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46-49D3-B37E-8B2D2103234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46-49D3-B37E-8B2D2103234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46-49D3-B37E-8B2D2103234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46-49D3-B37E-8B2D2103234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46-49D3-B37E-8B2D2103234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46-49D3-B37E-8B2D21032341}"/>
                </c:ext>
              </c:extLst>
            </c:dLbl>
            <c:dLbl>
              <c:idx val="11"/>
              <c:layout>
                <c:manualLayout>
                  <c:x val="-7.7546199492972171E-3"/>
                  <c:y val="-1.790740002002439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46-49D3-B37E-8B2D21032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graficos!$B$146:$M$146</c:f>
              <c:numCache>
                <c:formatCode>General</c:formatCode>
                <c:ptCount val="12"/>
                <c:pt idx="0">
                  <c:v>1.68</c:v>
                </c:pt>
                <c:pt idx="1">
                  <c:v>1.68</c:v>
                </c:pt>
                <c:pt idx="2">
                  <c:v>1.68</c:v>
                </c:pt>
                <c:pt idx="3">
                  <c:v>1.68</c:v>
                </c:pt>
                <c:pt idx="4">
                  <c:v>1.68</c:v>
                </c:pt>
                <c:pt idx="5">
                  <c:v>1.68</c:v>
                </c:pt>
                <c:pt idx="6">
                  <c:v>1.68</c:v>
                </c:pt>
                <c:pt idx="7">
                  <c:v>1.68</c:v>
                </c:pt>
                <c:pt idx="8">
                  <c:v>1.68</c:v>
                </c:pt>
                <c:pt idx="9">
                  <c:v>1.68</c:v>
                </c:pt>
                <c:pt idx="10">
                  <c:v>1.68</c:v>
                </c:pt>
                <c:pt idx="11">
                  <c:v>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46-49D3-B37E-8B2D21032341}"/>
            </c:ext>
          </c:extLst>
        </c:ser>
        <c:dLbls>
          <c:showVal val="1"/>
        </c:dLbls>
        <c:marker val="1"/>
        <c:axId val="76262016"/>
        <c:axId val="76280192"/>
      </c:lineChart>
      <c:catAx>
        <c:axId val="76262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280192"/>
        <c:crosses val="autoZero"/>
        <c:auto val="1"/>
        <c:lblAlgn val="ctr"/>
        <c:lblOffset val="100"/>
      </c:catAx>
      <c:valAx>
        <c:axId val="76280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2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8.5553201934399067E-2"/>
          <c:y val="9.4623650951820765E-2"/>
          <c:w val="0.88389129483814965"/>
          <c:h val="0.58418671624380281"/>
        </c:manualLayout>
      </c:layout>
      <c:lineChart>
        <c:grouping val="standard"/>
        <c:ser>
          <c:idx val="0"/>
          <c:order val="0"/>
          <c:tx>
            <c:strRef>
              <c:f>graficos!$A$175</c:f>
              <c:strCache>
                <c:ptCount val="1"/>
                <c:pt idx="0">
                  <c:v>Costo Por m3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graficos!$B$174:$M$174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graficos!$B$175:$M$175</c:f>
              <c:numCache>
                <c:formatCode>0.00</c:formatCode>
                <c:ptCount val="12"/>
                <c:pt idx="0">
                  <c:v>1.1607481029686419</c:v>
                </c:pt>
                <c:pt idx="1">
                  <c:v>1.3966983239418351</c:v>
                </c:pt>
                <c:pt idx="2">
                  <c:v>1.1262910441141061</c:v>
                </c:pt>
                <c:pt idx="3">
                  <c:v>1.2179312513099978</c:v>
                </c:pt>
                <c:pt idx="4">
                  <c:v>0.79179808703233578</c:v>
                </c:pt>
                <c:pt idx="5">
                  <c:v>1.224557712764377</c:v>
                </c:pt>
                <c:pt idx="6">
                  <c:v>1.6788944682252223</c:v>
                </c:pt>
                <c:pt idx="7">
                  <c:v>2.0768589103485229</c:v>
                </c:pt>
                <c:pt idx="8">
                  <c:v>1.0003602920261685</c:v>
                </c:pt>
                <c:pt idx="9">
                  <c:v>1.1558462641540064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B-4D59-A910-99A0DA9C4CC3}"/>
            </c:ext>
          </c:extLst>
        </c:ser>
        <c:ser>
          <c:idx val="1"/>
          <c:order val="1"/>
          <c:tx>
            <c:strRef>
              <c:f>graficos!$A$176</c:f>
              <c:strCache>
                <c:ptCount val="1"/>
                <c:pt idx="0">
                  <c:v>Costo Promedio KWH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graficos!$B$174:$M$174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graficos!$B$176:$M$176</c:f>
              <c:numCache>
                <c:formatCode>0.00</c:formatCode>
                <c:ptCount val="12"/>
                <c:pt idx="0">
                  <c:v>2.349450142751401</c:v>
                </c:pt>
                <c:pt idx="1">
                  <c:v>2.5682164482662673</c:v>
                </c:pt>
                <c:pt idx="2">
                  <c:v>2.695617227782833</c:v>
                </c:pt>
                <c:pt idx="3">
                  <c:v>2.6477565608669029</c:v>
                </c:pt>
                <c:pt idx="4">
                  <c:v>1.5408251100936887</c:v>
                </c:pt>
                <c:pt idx="5">
                  <c:v>2.5600377681976867</c:v>
                </c:pt>
                <c:pt idx="6">
                  <c:v>4.7080355493998152</c:v>
                </c:pt>
                <c:pt idx="7">
                  <c:v>3.4159030594361823</c:v>
                </c:pt>
                <c:pt idx="8">
                  <c:v>2.2726058674018867</c:v>
                </c:pt>
                <c:pt idx="9">
                  <c:v>2.190125861936377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AB-4D59-A910-99A0DA9C4CC3}"/>
            </c:ext>
          </c:extLst>
        </c:ser>
        <c:ser>
          <c:idx val="2"/>
          <c:order val="2"/>
          <c:tx>
            <c:strRef>
              <c:f>graficos!$A$177</c:f>
              <c:strCache>
                <c:ptCount val="1"/>
                <c:pt idx="0">
                  <c:v>KWH por m3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graficos!$B$174:$M$174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graficos!$B$177:$M$177</c:f>
              <c:numCache>
                <c:formatCode>0.00</c:formatCode>
                <c:ptCount val="12"/>
                <c:pt idx="0">
                  <c:v>0.49405096190264736</c:v>
                </c:pt>
                <c:pt idx="1">
                  <c:v>0.54383980169767543</c:v>
                </c:pt>
                <c:pt idx="2">
                  <c:v>0.41782306200813596</c:v>
                </c:pt>
                <c:pt idx="3">
                  <c:v>0.45998611402221756</c:v>
                </c:pt>
                <c:pt idx="4">
                  <c:v>0.51387927276457168</c:v>
                </c:pt>
                <c:pt idx="5">
                  <c:v>0.47833579956380406</c:v>
                </c:pt>
                <c:pt idx="6">
                  <c:v>0.35660190977938755</c:v>
                </c:pt>
                <c:pt idx="7">
                  <c:v>0.60799702866606586</c:v>
                </c:pt>
                <c:pt idx="8">
                  <c:v>0.44018204228690622</c:v>
                </c:pt>
                <c:pt idx="9">
                  <c:v>0.52775335164166182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AB-4D59-A910-99A0DA9C4CC3}"/>
            </c:ext>
          </c:extLst>
        </c:ser>
        <c:dLbls>
          <c:showVal val="1"/>
        </c:dLbls>
        <c:marker val="1"/>
        <c:axId val="76339840"/>
        <c:axId val="76345728"/>
      </c:lineChart>
      <c:catAx>
        <c:axId val="76339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345728"/>
        <c:crosses val="autoZero"/>
        <c:auto val="1"/>
        <c:lblAlgn val="ctr"/>
        <c:lblOffset val="100"/>
      </c:catAx>
      <c:valAx>
        <c:axId val="76345728"/>
        <c:scaling>
          <c:orientation val="minMax"/>
          <c:min val="0.30000000000000032"/>
        </c:scaling>
        <c:axPos val="l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33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370757315659128E-2"/>
          <c:y val="0.90455128748170954"/>
          <c:w val="0.68981891461734468"/>
          <c:h val="7.064412487272198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graficos!$A$201</c:f>
              <c:strCache>
                <c:ptCount val="1"/>
                <c:pt idx="0">
                  <c:v>Precio Venta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graficos!$B$200:$M$200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graficos!$B$201:$M$201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8-4041-90B1-D9809104D126}"/>
            </c:ext>
          </c:extLst>
        </c:ser>
        <c:dLbls/>
        <c:axId val="76409472"/>
        <c:axId val="76681600"/>
      </c:barChart>
      <c:lineChart>
        <c:grouping val="standard"/>
        <c:ser>
          <c:idx val="1"/>
          <c:order val="1"/>
          <c:tx>
            <c:strRef>
              <c:f>graficos!$A$202</c:f>
              <c:strCache>
                <c:ptCount val="1"/>
                <c:pt idx="0">
                  <c:v>Costo c/ Operación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graficos!$B$200:$M$200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graficos!$B$202:$M$202</c:f>
              <c:numCache>
                <c:formatCode>#,##0.00</c:formatCode>
                <c:ptCount val="12"/>
                <c:pt idx="0">
                  <c:v>9.7097574673162068</c:v>
                </c:pt>
                <c:pt idx="1">
                  <c:v>12.509611970197007</c:v>
                </c:pt>
                <c:pt idx="2">
                  <c:v>14.292225538278272</c:v>
                </c:pt>
                <c:pt idx="3">
                  <c:v>10.490838136658981</c:v>
                </c:pt>
                <c:pt idx="4">
                  <c:v>7.6728036772059394</c:v>
                </c:pt>
                <c:pt idx="5">
                  <c:v>7.4521736107396919</c:v>
                </c:pt>
                <c:pt idx="6">
                  <c:v>12.03526288865892</c:v>
                </c:pt>
                <c:pt idx="7">
                  <c:v>7.1550261818358942</c:v>
                </c:pt>
                <c:pt idx="8">
                  <c:v>6.8280869757592999</c:v>
                </c:pt>
                <c:pt idx="9">
                  <c:v>11.462390995549184</c:v>
                </c:pt>
                <c:pt idx="10">
                  <c:v>10.401998153277935</c:v>
                </c:pt>
                <c:pt idx="11">
                  <c:v>11.777511216379329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8-4041-90B1-D9809104D126}"/>
            </c:ext>
          </c:extLst>
        </c:ser>
        <c:ser>
          <c:idx val="2"/>
          <c:order val="2"/>
          <c:tx>
            <c:strRef>
              <c:f>graficos!$A$203</c:f>
              <c:strCache>
                <c:ptCount val="1"/>
                <c:pt idx="0">
                  <c:v>Costo c/ Inversión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graficos!$B$200:$M$200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graficos!$B$203:$M$203</c:f>
              <c:numCache>
                <c:formatCode>#,##0.00</c:formatCode>
                <c:ptCount val="12"/>
                <c:pt idx="0">
                  <c:v>13.686549035485262</c:v>
                </c:pt>
                <c:pt idx="1">
                  <c:v>15.3988696335154</c:v>
                </c:pt>
                <c:pt idx="2">
                  <c:v>17.349136030110635</c:v>
                </c:pt>
                <c:pt idx="3">
                  <c:v>13.312402143156572</c:v>
                </c:pt>
                <c:pt idx="4">
                  <c:v>8.4363747211323954</c:v>
                </c:pt>
                <c:pt idx="5">
                  <c:v>7.6231457809630783</c:v>
                </c:pt>
                <c:pt idx="6">
                  <c:v>14.119680782256927</c:v>
                </c:pt>
                <c:pt idx="7">
                  <c:v>7.187878236196692</c:v>
                </c:pt>
                <c:pt idx="8">
                  <c:v>7.1550298663126952</c:v>
                </c:pt>
                <c:pt idx="9">
                  <c:v>12.12341650996361</c:v>
                </c:pt>
                <c:pt idx="10">
                  <c:v>10.591426592797788</c:v>
                </c:pt>
                <c:pt idx="11">
                  <c:v>11.777511216379329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F8-4041-90B1-D9809104D126}"/>
            </c:ext>
          </c:extLst>
        </c:ser>
        <c:dLbls/>
        <c:marker val="1"/>
        <c:axId val="76409472"/>
        <c:axId val="76681600"/>
      </c:lineChart>
      <c:catAx>
        <c:axId val="76409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681600"/>
        <c:crosses val="autoZero"/>
        <c:auto val="1"/>
        <c:lblAlgn val="ctr"/>
        <c:lblOffset val="100"/>
      </c:catAx>
      <c:valAx>
        <c:axId val="76681600"/>
        <c:scaling>
          <c:orientation val="minMax"/>
          <c:max val="20"/>
          <c:min val="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40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412750</xdr:colOff>
      <xdr:row>0</xdr:row>
      <xdr:rowOff>1</xdr:rowOff>
    </xdr:from>
    <xdr:ext cx="1141943" cy="1005152"/>
    <xdr:pic>
      <xdr:nvPicPr>
        <xdr:cNvPr id="2" name="3 Imagen">
          <a:extLst>
            <a:ext uri="{FF2B5EF4-FFF2-40B4-BE49-F238E27FC236}">
              <a16:creationId xmlns="" xmlns:a16="http://schemas.microsoft.com/office/drawing/2014/main" id="{58097C62-9D9E-4EC8-8189-CDDCCF358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25175" y="1"/>
          <a:ext cx="1141943" cy="10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="" xmlns:a16="http://schemas.microsoft.com/office/drawing/2014/main" id="{DB22CA2D-6D9E-4E90-8C6D-094532DD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="" xmlns:a16="http://schemas.microsoft.com/office/drawing/2014/main" id="{151DD97F-1B0C-4E53-BC03-9B46FEA3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0</xdr:rowOff>
    </xdr:from>
    <xdr:to>
      <xdr:col>14</xdr:col>
      <xdr:colOff>306763</xdr:colOff>
      <xdr:row>3</xdr:row>
      <xdr:rowOff>148500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7577F9A-C9DA-4369-9193-48ED1F28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44475" y="0"/>
          <a:ext cx="2087938" cy="72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14</xdr:col>
      <xdr:colOff>306763</xdr:colOff>
      <xdr:row>3</xdr:row>
      <xdr:rowOff>148500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7FDC6F4-B18F-465A-AAEB-DCD97DDB4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44475" y="0"/>
          <a:ext cx="208793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59512</xdr:colOff>
      <xdr:row>0</xdr:row>
      <xdr:rowOff>171450</xdr:rowOff>
    </xdr:from>
    <xdr:to>
      <xdr:col>2</xdr:col>
      <xdr:colOff>336907</xdr:colOff>
      <xdr:row>4</xdr:row>
      <xdr:rowOff>129450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D68D503D-11D2-4AB5-895D-1B8898172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512" y="171450"/>
          <a:ext cx="223002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647699</xdr:colOff>
      <xdr:row>5</xdr:row>
      <xdr:rowOff>100012</xdr:rowOff>
    </xdr:from>
    <xdr:to>
      <xdr:col>9</xdr:col>
      <xdr:colOff>428624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CF4F4EFD-F433-4B88-8185-721A760F4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26</xdr:row>
      <xdr:rowOff>9525</xdr:rowOff>
    </xdr:from>
    <xdr:to>
      <xdr:col>10</xdr:col>
      <xdr:colOff>95250</xdr:colOff>
      <xdr:row>42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3E87D7C-A7F9-495C-94AD-1B372A468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49</xdr:row>
      <xdr:rowOff>119062</xdr:rowOff>
    </xdr:from>
    <xdr:to>
      <xdr:col>9</xdr:col>
      <xdr:colOff>561975</xdr:colOff>
      <xdr:row>64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7666302-81D7-48D9-BCEE-28893A629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23812</xdr:colOff>
      <xdr:row>71</xdr:row>
      <xdr:rowOff>161924</xdr:rowOff>
    </xdr:from>
    <xdr:to>
      <xdr:col>10</xdr:col>
      <xdr:colOff>552450</xdr:colOff>
      <xdr:row>88</xdr:row>
      <xdr:rowOff>114299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822F8B9B-1318-4B35-9823-402CC60CC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833437</xdr:colOff>
      <xdr:row>99</xdr:row>
      <xdr:rowOff>52387</xdr:rowOff>
    </xdr:from>
    <xdr:to>
      <xdr:col>10</xdr:col>
      <xdr:colOff>319087</xdr:colOff>
      <xdr:row>113</xdr:row>
      <xdr:rowOff>128587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307BE45C-34BC-4084-96CC-84979F1DC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633412</xdr:colOff>
      <xdr:row>121</xdr:row>
      <xdr:rowOff>176211</xdr:rowOff>
    </xdr:from>
    <xdr:to>
      <xdr:col>10</xdr:col>
      <xdr:colOff>295275</xdr:colOff>
      <xdr:row>138</xdr:row>
      <xdr:rowOff>161924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15F8A444-7677-457C-86FD-6125BD251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52387</xdr:colOff>
      <xdr:row>150</xdr:row>
      <xdr:rowOff>4761</xdr:rowOff>
    </xdr:from>
    <xdr:to>
      <xdr:col>9</xdr:col>
      <xdr:colOff>657225</xdr:colOff>
      <xdr:row>166</xdr:row>
      <xdr:rowOff>142874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FA6E24C2-A7D8-4AB9-9159-B5CA3EC65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766761</xdr:colOff>
      <xdr:row>178</xdr:row>
      <xdr:rowOff>80961</xdr:rowOff>
    </xdr:from>
    <xdr:to>
      <xdr:col>11</xdr:col>
      <xdr:colOff>285749</xdr:colOff>
      <xdr:row>194</xdr:row>
      <xdr:rowOff>66674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F062E248-D936-4CE4-BB76-F6CB6B6CA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206</xdr:row>
      <xdr:rowOff>66675</xdr:rowOff>
    </xdr:from>
    <xdr:to>
      <xdr:col>10</xdr:col>
      <xdr:colOff>609600</xdr:colOff>
      <xdr:row>224</xdr:row>
      <xdr:rowOff>28574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8E72CC3D-107A-4489-9B71-5E6EEF83C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10</xdr:col>
      <xdr:colOff>433014</xdr:colOff>
      <xdr:row>79</xdr:row>
      <xdr:rowOff>161926</xdr:rowOff>
    </xdr:from>
    <xdr:to>
      <xdr:col>11</xdr:col>
      <xdr:colOff>283161</xdr:colOff>
      <xdr:row>82</xdr:row>
      <xdr:rowOff>66676</xdr:rowOff>
    </xdr:to>
    <xdr:pic>
      <xdr:nvPicPr>
        <xdr:cNvPr id="17" name="Imagen 16">
          <a:extLst>
            <a:ext uri="{FF2B5EF4-FFF2-40B4-BE49-F238E27FC236}">
              <a16:creationId xmlns="" xmlns:a16="http://schemas.microsoft.com/office/drawing/2014/main" id="{A9AA1CC1-0492-4E33-B8D1-AD131FB08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24539" y="15401926"/>
          <a:ext cx="697872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0.01951</cdr:x>
      <cdr:y>0.56716</cdr:y>
    </cdr:from>
    <cdr:to>
      <cdr:x>0.96438</cdr:x>
      <cdr:y>0.57612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="" xmlns:a16="http://schemas.microsoft.com/office/drawing/2014/main" id="{92BCE3DF-BC7C-40F3-B809-CD64D7C0119D}"/>
            </a:ext>
          </a:extLst>
        </cdr:cNvPr>
        <cdr:cNvCxnSpPr/>
      </cdr:nvCxnSpPr>
      <cdr:spPr>
        <a:xfrm xmlns:a="http://schemas.openxmlformats.org/drawingml/2006/main" flipV="1">
          <a:off x="109538" y="1809751"/>
          <a:ext cx="5305425" cy="28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0.02092</cdr:x>
      <cdr:y>0.60697</cdr:y>
    </cdr:from>
    <cdr:to>
      <cdr:x>0.96579</cdr:x>
      <cdr:y>0.61592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="" xmlns:a16="http://schemas.microsoft.com/office/drawing/2014/main" id="{1BE8B9C2-2DBB-4EE3-93DC-AA6DDAF1CD1B}"/>
            </a:ext>
          </a:extLst>
        </cdr:cNvPr>
        <cdr:cNvCxnSpPr/>
      </cdr:nvCxnSpPr>
      <cdr:spPr>
        <a:xfrm xmlns:a="http://schemas.openxmlformats.org/drawingml/2006/main" flipV="1">
          <a:off x="117475" y="1936750"/>
          <a:ext cx="5305425" cy="28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%202020/DICIEMBRE%202020%201/Copia%20de%20Plantilla%20Indicadores%20y%20PIGOO%20%202020%20DICIEMBRE%20YOVANI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JMAS/Documents/JMAS/ESTADOS%20FIN%20%202021/01%20FEBRERO%202021/Copia%20de%20Plantilla%20Indicadores%20y%20PIGOO%20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>
        <row r="67">
          <cell r="L67">
            <v>119867</v>
          </cell>
          <cell r="M67">
            <v>129827</v>
          </cell>
        </row>
        <row r="73">
          <cell r="L73">
            <v>74569</v>
          </cell>
          <cell r="M73">
            <v>73681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2"/>
  <sheetViews>
    <sheetView workbookViewId="0">
      <pane xSplit="1" ySplit="10" topLeftCell="B210" activePane="bottomRight" state="frozen"/>
      <selection pane="topRight" activeCell="B1" sqref="B1"/>
      <selection pane="bottomLeft" activeCell="A11" sqref="A11"/>
      <selection pane="bottomRight" sqref="A1:R214"/>
    </sheetView>
  </sheetViews>
  <sheetFormatPr baseColWidth="10" defaultRowHeight="15.75"/>
  <cols>
    <col min="1" max="1" width="66.5703125" style="400" customWidth="1"/>
    <col min="2" max="2" width="26.28515625" style="386" bestFit="1" customWidth="1"/>
    <col min="3" max="8" width="20.140625" style="400" bestFit="1" customWidth="1"/>
    <col min="9" max="9" width="20.5703125" style="400" customWidth="1"/>
    <col min="10" max="11" width="20.140625" style="400" bestFit="1" customWidth="1"/>
    <col min="12" max="12" width="20.5703125" style="400" customWidth="1"/>
    <col min="13" max="13" width="20.140625" style="400" bestFit="1" customWidth="1"/>
    <col min="14" max="14" width="24.140625" style="400" bestFit="1" customWidth="1"/>
    <col min="15" max="15" width="19.5703125" style="400" bestFit="1" customWidth="1"/>
    <col min="16" max="16" width="27.28515625" style="400" customWidth="1"/>
    <col min="17" max="17" width="18.85546875" style="400" customWidth="1"/>
    <col min="18" max="18" width="9.28515625" style="401" customWidth="1"/>
    <col min="19" max="19" width="4.140625" style="281" customWidth="1"/>
    <col min="20" max="20" width="22" style="281" customWidth="1"/>
    <col min="21" max="21" width="21.28515625" style="281" customWidth="1"/>
    <col min="22" max="22" width="11.42578125" style="281" customWidth="1"/>
    <col min="23" max="16384" width="11.42578125" style="281"/>
  </cols>
  <sheetData>
    <row r="1" spans="1:18">
      <c r="A1" s="457" t="s">
        <v>315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1:18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>
      <c r="A3" s="458" t="s">
        <v>105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</row>
    <row r="4" spans="1:18">
      <c r="A4" s="458" t="s">
        <v>314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1:18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</row>
    <row r="6" spans="1:18" ht="8.2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</row>
    <row r="7" spans="1:18" ht="8.25" customHeight="1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</row>
    <row r="8" spans="1:18">
      <c r="A8" s="283"/>
      <c r="B8" s="284"/>
      <c r="C8" s="285">
        <v>2</v>
      </c>
      <c r="D8" s="285">
        <v>0</v>
      </c>
      <c r="E8" s="285">
        <v>0</v>
      </c>
      <c r="F8" s="285">
        <v>0</v>
      </c>
      <c r="G8" s="285">
        <v>0</v>
      </c>
      <c r="H8" s="285">
        <v>0</v>
      </c>
      <c r="I8" s="285">
        <v>0</v>
      </c>
      <c r="J8" s="285">
        <v>0</v>
      </c>
      <c r="K8" s="285">
        <v>0</v>
      </c>
      <c r="L8" s="285">
        <v>0</v>
      </c>
      <c r="M8" s="285">
        <v>0</v>
      </c>
      <c r="N8" s="286"/>
      <c r="O8" s="286"/>
      <c r="P8" s="286"/>
      <c r="Q8" s="286"/>
      <c r="R8" s="287"/>
    </row>
    <row r="9" spans="1:18" ht="31.5">
      <c r="A9" s="288" t="s">
        <v>106</v>
      </c>
      <c r="B9" s="289" t="s">
        <v>107</v>
      </c>
      <c r="C9" s="289" t="s">
        <v>108</v>
      </c>
      <c r="D9" s="289" t="s">
        <v>109</v>
      </c>
      <c r="E9" s="289" t="s">
        <v>5</v>
      </c>
      <c r="F9" s="289" t="s">
        <v>110</v>
      </c>
      <c r="G9" s="289" t="s">
        <v>111</v>
      </c>
      <c r="H9" s="289" t="s">
        <v>112</v>
      </c>
      <c r="I9" s="289" t="s">
        <v>113</v>
      </c>
      <c r="J9" s="289" t="s">
        <v>114</v>
      </c>
      <c r="K9" s="289" t="s">
        <v>115</v>
      </c>
      <c r="L9" s="289" t="s">
        <v>116</v>
      </c>
      <c r="M9" s="289" t="s">
        <v>117</v>
      </c>
      <c r="N9" s="289" t="s">
        <v>118</v>
      </c>
      <c r="O9" s="289" t="s">
        <v>119</v>
      </c>
      <c r="P9" s="289" t="s">
        <v>120</v>
      </c>
      <c r="Q9" s="289" t="s">
        <v>121</v>
      </c>
      <c r="R9" s="289" t="s">
        <v>122</v>
      </c>
    </row>
    <row r="10" spans="1:18">
      <c r="A10" s="290" t="s">
        <v>123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</row>
    <row r="11" spans="1:18">
      <c r="A11" s="292" t="s">
        <v>124</v>
      </c>
      <c r="B11" s="293">
        <f>+B12+B19</f>
        <v>1598950.3999999999</v>
      </c>
      <c r="C11" s="293">
        <f t="shared" ref="C11:N11" si="0">+C12+C19</f>
        <v>1426473.0299999998</v>
      </c>
      <c r="D11" s="293">
        <f t="shared" si="0"/>
        <v>1346452.64</v>
      </c>
      <c r="E11" s="293">
        <f t="shared" ref="E11" si="1">+E12+E19</f>
        <v>1282446.8900000001</v>
      </c>
      <c r="F11" s="293">
        <f t="shared" si="0"/>
        <v>1427930.5099999998</v>
      </c>
      <c r="G11" s="293">
        <f t="shared" si="0"/>
        <v>1192723.6599999999</v>
      </c>
      <c r="H11" s="293">
        <f t="shared" si="0"/>
        <v>1488220.55</v>
      </c>
      <c r="I11" s="293">
        <f t="shared" si="0"/>
        <v>1323038.04</v>
      </c>
      <c r="J11" s="293">
        <f t="shared" si="0"/>
        <v>1255352.19</v>
      </c>
      <c r="K11" s="293">
        <f t="shared" si="0"/>
        <v>1239247.5699999998</v>
      </c>
      <c r="L11" s="293">
        <f t="shared" si="0"/>
        <v>1125691.22</v>
      </c>
      <c r="M11" s="293">
        <f t="shared" si="0"/>
        <v>1568107.63</v>
      </c>
      <c r="N11" s="293">
        <f t="shared" si="0"/>
        <v>16274634.33</v>
      </c>
      <c r="O11" s="293">
        <f>+O12+O19</f>
        <v>0</v>
      </c>
      <c r="P11" s="293">
        <f t="shared" ref="P11" si="2">+P12+P19</f>
        <v>0</v>
      </c>
      <c r="Q11" s="293">
        <f>+N11-P11</f>
        <v>16274634.33</v>
      </c>
      <c r="R11" s="294" t="e">
        <f>+Q11/P11</f>
        <v>#DIV/0!</v>
      </c>
    </row>
    <row r="12" spans="1:18">
      <c r="A12" s="295" t="s">
        <v>125</v>
      </c>
      <c r="B12" s="301">
        <f>+B13+B16+B17+B18</f>
        <v>1453085.1199999999</v>
      </c>
      <c r="C12" s="296">
        <f t="shared" ref="C12:M12" si="3">+C13+C16+C17+C18</f>
        <v>1290654.6399999999</v>
      </c>
      <c r="D12" s="296">
        <f t="shared" si="3"/>
        <v>1162486.4299999997</v>
      </c>
      <c r="E12" s="296">
        <f t="shared" ref="E12" si="4">+E13+E16+E17+E18</f>
        <v>1087839.9200000002</v>
      </c>
      <c r="F12" s="296">
        <f t="shared" si="3"/>
        <v>1200878.0599999998</v>
      </c>
      <c r="G12" s="296">
        <f t="shared" si="3"/>
        <v>951547.01</v>
      </c>
      <c r="H12" s="296">
        <f t="shared" si="3"/>
        <v>1221726.81</v>
      </c>
      <c r="I12" s="296">
        <f t="shared" si="3"/>
        <v>1117840.23</v>
      </c>
      <c r="J12" s="296">
        <f t="shared" si="3"/>
        <v>1079863.42</v>
      </c>
      <c r="K12" s="296">
        <f t="shared" si="3"/>
        <v>1093881.6599999999</v>
      </c>
      <c r="L12" s="296">
        <f t="shared" si="3"/>
        <v>975104.79</v>
      </c>
      <c r="M12" s="296">
        <f t="shared" si="3"/>
        <v>1447690.66</v>
      </c>
      <c r="N12" s="296">
        <f>+N13-N16-N17</f>
        <v>14082598.75</v>
      </c>
      <c r="O12" s="296">
        <f>+O13+O16+O17</f>
        <v>0</v>
      </c>
      <c r="P12" s="296">
        <f>+P13+P16+P17</f>
        <v>0</v>
      </c>
      <c r="Q12" s="296">
        <f>+N12-P12</f>
        <v>14082598.75</v>
      </c>
      <c r="R12" s="297" t="e">
        <f>+Q12/P12</f>
        <v>#DIV/0!</v>
      </c>
    </row>
    <row r="13" spans="1:18">
      <c r="A13" s="298" t="s">
        <v>126</v>
      </c>
      <c r="B13" s="296">
        <f>+B14+B15</f>
        <v>1453085.1199999999</v>
      </c>
      <c r="C13" s="296">
        <f t="shared" ref="C13:M13" si="5">+C14+C15</f>
        <v>1290654.6399999999</v>
      </c>
      <c r="D13" s="296">
        <f t="shared" si="5"/>
        <v>1162486.4299999997</v>
      </c>
      <c r="E13" s="296">
        <f t="shared" ref="E13" si="6">+E14+E15</f>
        <v>1087839.9200000002</v>
      </c>
      <c r="F13" s="296">
        <f t="shared" si="5"/>
        <v>1200878.0599999998</v>
      </c>
      <c r="G13" s="296">
        <f t="shared" si="5"/>
        <v>951547.01</v>
      </c>
      <c r="H13" s="296">
        <f t="shared" si="5"/>
        <v>1221726.81</v>
      </c>
      <c r="I13" s="296">
        <f t="shared" si="5"/>
        <v>1117840.23</v>
      </c>
      <c r="J13" s="296">
        <f t="shared" si="5"/>
        <v>1079863.42</v>
      </c>
      <c r="K13" s="296">
        <f t="shared" si="5"/>
        <v>1093881.6599999999</v>
      </c>
      <c r="L13" s="296">
        <f t="shared" si="5"/>
        <v>975104.79</v>
      </c>
      <c r="M13" s="296">
        <f t="shared" si="5"/>
        <v>1447690.66</v>
      </c>
      <c r="N13" s="296">
        <f t="shared" ref="N13" si="7">+N14+N15</f>
        <v>14082598.75</v>
      </c>
      <c r="O13" s="296">
        <f>+O14+O15</f>
        <v>0</v>
      </c>
      <c r="P13" s="296">
        <f>+P14+P15</f>
        <v>0</v>
      </c>
      <c r="Q13" s="296">
        <f>+N13-P13</f>
        <v>14082598.75</v>
      </c>
      <c r="R13" s="297" t="e">
        <f>+Q13/P13</f>
        <v>#DIV/0!</v>
      </c>
    </row>
    <row r="14" spans="1:18">
      <c r="A14" s="299" t="s">
        <v>127</v>
      </c>
      <c r="B14" s="300">
        <v>1291136.1599999999</v>
      </c>
      <c r="C14" s="300">
        <v>1028959.48</v>
      </c>
      <c r="D14" s="300">
        <f>1044314.47+86295.15</f>
        <v>1130609.6199999999</v>
      </c>
      <c r="E14" s="300">
        <v>1068535.83</v>
      </c>
      <c r="F14" s="300">
        <v>1175704.4099999999</v>
      </c>
      <c r="G14" s="419">
        <v>924493.99</v>
      </c>
      <c r="H14" s="301">
        <v>1209598.05</v>
      </c>
      <c r="I14" s="301">
        <v>1108986.3899999999</v>
      </c>
      <c r="J14" s="301">
        <v>1069876.19</v>
      </c>
      <c r="K14" s="300">
        <v>1086140.1499999999</v>
      </c>
      <c r="L14" s="300">
        <v>964791.89</v>
      </c>
      <c r="M14" s="300">
        <v>1429037.17</v>
      </c>
      <c r="N14" s="300">
        <f t="shared" ref="N14:N19" si="8">SUM(B14:M14)</f>
        <v>13487869.33</v>
      </c>
      <c r="O14" s="300"/>
      <c r="P14" s="300">
        <f t="shared" ref="P14:P19" si="9">+O14/12*$R$20</f>
        <v>0</v>
      </c>
      <c r="Q14" s="300">
        <f t="shared" ref="Q14:Q19" si="10">+N14-P14</f>
        <v>13487869.33</v>
      </c>
      <c r="R14" s="302" t="e">
        <f t="shared" ref="R14:R35" si="11">+Q14/P14</f>
        <v>#DIV/0!</v>
      </c>
    </row>
    <row r="15" spans="1:18">
      <c r="A15" s="299" t="s">
        <v>128</v>
      </c>
      <c r="B15" s="300">
        <v>161948.96</v>
      </c>
      <c r="C15" s="300">
        <v>261695.16</v>
      </c>
      <c r="D15" s="300">
        <f>1162486.43-1130609.62</f>
        <v>31876.809999999823</v>
      </c>
      <c r="E15" s="300">
        <v>19304.09</v>
      </c>
      <c r="F15" s="300">
        <v>25173.65</v>
      </c>
      <c r="G15" s="300">
        <v>27053.02</v>
      </c>
      <c r="H15" s="301">
        <v>12128.76</v>
      </c>
      <c r="I15" s="301">
        <v>8853.84</v>
      </c>
      <c r="J15" s="301">
        <v>9987.23</v>
      </c>
      <c r="K15" s="300">
        <v>7741.51</v>
      </c>
      <c r="L15" s="300">
        <v>10312.9</v>
      </c>
      <c r="M15" s="300">
        <v>18653.490000000002</v>
      </c>
      <c r="N15" s="300">
        <f t="shared" si="8"/>
        <v>594729.41999999981</v>
      </c>
      <c r="O15" s="300"/>
      <c r="P15" s="300">
        <f t="shared" si="9"/>
        <v>0</v>
      </c>
      <c r="Q15" s="300">
        <f t="shared" si="10"/>
        <v>594729.41999999981</v>
      </c>
      <c r="R15" s="302" t="e">
        <f t="shared" si="11"/>
        <v>#DIV/0!</v>
      </c>
    </row>
    <row r="16" spans="1:18">
      <c r="A16" s="303" t="s">
        <v>129</v>
      </c>
      <c r="B16" s="304"/>
      <c r="C16" s="304"/>
      <c r="D16" s="304"/>
      <c r="E16" s="304"/>
      <c r="F16" s="304"/>
      <c r="G16" s="304"/>
      <c r="H16" s="305"/>
      <c r="I16" s="301"/>
      <c r="J16" s="301"/>
      <c r="K16" s="304"/>
      <c r="L16" s="304"/>
      <c r="M16" s="304"/>
      <c r="N16" s="304"/>
      <c r="O16" s="304"/>
      <c r="P16" s="300">
        <f t="shared" si="9"/>
        <v>0</v>
      </c>
      <c r="Q16" s="300">
        <f t="shared" si="10"/>
        <v>0</v>
      </c>
      <c r="R16" s="302" t="e">
        <f t="shared" si="11"/>
        <v>#DIV/0!</v>
      </c>
    </row>
    <row r="17" spans="1:18">
      <c r="A17" s="303" t="s">
        <v>130</v>
      </c>
      <c r="B17" s="304"/>
      <c r="C17" s="304"/>
      <c r="D17" s="304"/>
      <c r="E17" s="304"/>
      <c r="F17" s="304"/>
      <c r="G17" s="304"/>
      <c r="H17" s="305"/>
      <c r="I17" s="301"/>
      <c r="J17" s="301"/>
      <c r="K17" s="304"/>
      <c r="L17" s="304"/>
      <c r="M17" s="304"/>
      <c r="N17" s="304"/>
      <c r="O17" s="304"/>
      <c r="P17" s="300">
        <f t="shared" si="9"/>
        <v>0</v>
      </c>
      <c r="Q17" s="300">
        <f t="shared" si="10"/>
        <v>0</v>
      </c>
      <c r="R17" s="302" t="e">
        <f t="shared" si="11"/>
        <v>#DIV/0!</v>
      </c>
    </row>
    <row r="18" spans="1:18">
      <c r="A18" s="303" t="s">
        <v>131</v>
      </c>
      <c r="B18" s="304"/>
      <c r="C18" s="304"/>
      <c r="D18" s="304"/>
      <c r="E18" s="304"/>
      <c r="F18" s="304"/>
      <c r="G18" s="304"/>
      <c r="H18" s="305"/>
      <c r="I18" s="301"/>
      <c r="J18" s="301"/>
      <c r="K18" s="304"/>
      <c r="L18" s="304"/>
      <c r="M18" s="304"/>
      <c r="N18" s="304"/>
      <c r="O18" s="304"/>
      <c r="P18" s="300">
        <f>+O18/12*$Q$23</f>
        <v>0</v>
      </c>
      <c r="Q18" s="300">
        <f t="shared" si="10"/>
        <v>0</v>
      </c>
      <c r="R18" s="302"/>
    </row>
    <row r="19" spans="1:18">
      <c r="A19" s="306" t="s">
        <v>132</v>
      </c>
      <c r="B19" s="300">
        <v>145865.28</v>
      </c>
      <c r="C19" s="300">
        <v>135818.39000000001</v>
      </c>
      <c r="D19" s="300">
        <f>1346452.64-D12</f>
        <v>183966.2100000002</v>
      </c>
      <c r="E19" s="300">
        <v>194606.97</v>
      </c>
      <c r="F19" s="300">
        <v>227052.45</v>
      </c>
      <c r="G19" s="419">
        <v>241176.65</v>
      </c>
      <c r="H19" s="300">
        <v>266493.74</v>
      </c>
      <c r="I19" s="301">
        <v>205197.81</v>
      </c>
      <c r="J19" s="301">
        <v>175488.77</v>
      </c>
      <c r="K19" s="300">
        <v>145365.91</v>
      </c>
      <c r="L19" s="300">
        <v>150586.43</v>
      </c>
      <c r="M19" s="300">
        <v>120416.97</v>
      </c>
      <c r="N19" s="300">
        <f t="shared" si="8"/>
        <v>2192035.58</v>
      </c>
      <c r="O19" s="300"/>
      <c r="P19" s="300">
        <f t="shared" si="9"/>
        <v>0</v>
      </c>
      <c r="Q19" s="300">
        <f t="shared" si="10"/>
        <v>2192035.58</v>
      </c>
      <c r="R19" s="307" t="e">
        <f>+Q19/P19</f>
        <v>#DIV/0!</v>
      </c>
    </row>
    <row r="20" spans="1:18">
      <c r="A20" s="308"/>
      <c r="B20" s="300"/>
      <c r="C20" s="300"/>
      <c r="D20" s="300"/>
      <c r="E20" s="300"/>
      <c r="F20" s="300"/>
      <c r="G20" s="300"/>
      <c r="H20" s="301"/>
      <c r="I20" s="300"/>
      <c r="J20" s="300"/>
      <c r="K20" s="300"/>
      <c r="L20" s="300"/>
      <c r="M20" s="300"/>
      <c r="N20" s="300"/>
      <c r="O20" s="300"/>
      <c r="P20" s="300"/>
      <c r="Q20" s="300"/>
      <c r="R20" s="309">
        <f>COUNTA(B14:M14)</f>
        <v>12</v>
      </c>
    </row>
    <row r="21" spans="1:18">
      <c r="A21" s="310" t="s">
        <v>133</v>
      </c>
      <c r="B21" s="311">
        <f>+B22+B35+B36</f>
        <v>1486894</v>
      </c>
      <c r="C21" s="311">
        <f t="shared" ref="C21:M21" si="12">+C22+C35+C36</f>
        <v>1736058.9300000002</v>
      </c>
      <c r="D21" s="311">
        <f t="shared" si="12"/>
        <v>2255570.4500000002</v>
      </c>
      <c r="E21" s="311">
        <f t="shared" ref="E21" si="13">+E22+E35+E36</f>
        <v>1601657.24</v>
      </c>
      <c r="F21" s="311">
        <f t="shared" si="12"/>
        <v>1196865.3</v>
      </c>
      <c r="G21" s="311">
        <f t="shared" si="12"/>
        <v>1253999.6100000001</v>
      </c>
      <c r="H21" s="311">
        <f t="shared" si="12"/>
        <v>2046861.23</v>
      </c>
      <c r="I21" s="311">
        <f t="shared" si="12"/>
        <v>1175112.8799999999</v>
      </c>
      <c r="J21" s="311">
        <f t="shared" si="12"/>
        <v>1080237.5</v>
      </c>
      <c r="K21" s="311">
        <f t="shared" si="12"/>
        <v>1694576.9600000002</v>
      </c>
      <c r="L21" s="311">
        <f t="shared" si="12"/>
        <v>1351843.6800000004</v>
      </c>
      <c r="M21" s="311">
        <f t="shared" si="12"/>
        <v>1551416.22</v>
      </c>
      <c r="N21" s="311">
        <f>SUM(B21:M21)</f>
        <v>18431094</v>
      </c>
      <c r="O21" s="311">
        <v>0</v>
      </c>
      <c r="P21" s="311">
        <f>+P22+P34+P35</f>
        <v>0</v>
      </c>
      <c r="Q21" s="311">
        <f>+N21-P21</f>
        <v>18431094</v>
      </c>
      <c r="R21" s="312" t="e">
        <f t="shared" ref="R21:R25" si="14">+Q21/P21</f>
        <v>#DIV/0!</v>
      </c>
    </row>
    <row r="22" spans="1:18">
      <c r="A22" s="295" t="s">
        <v>134</v>
      </c>
      <c r="B22" s="313">
        <f>+B23+B24+B25+B30</f>
        <v>877912</v>
      </c>
      <c r="C22" s="313">
        <f t="shared" ref="C22:M22" si="15">+C23+C24+C25+C30</f>
        <v>943308.03000000014</v>
      </c>
      <c r="D22" s="313">
        <f t="shared" si="15"/>
        <v>1402699.45</v>
      </c>
      <c r="E22" s="313">
        <f t="shared" ref="E22" si="16">+E23+E24+E25+E30</f>
        <v>1170883.42</v>
      </c>
      <c r="F22" s="313">
        <f t="shared" si="15"/>
        <v>1077757.3800000001</v>
      </c>
      <c r="G22" s="313">
        <f t="shared" si="15"/>
        <v>1225229.6100000001</v>
      </c>
      <c r="H22" s="313">
        <f>+H23+H24+H25+H30</f>
        <v>1692360.1099999999</v>
      </c>
      <c r="I22" s="313">
        <f t="shared" si="15"/>
        <v>1169717.3899999999</v>
      </c>
      <c r="J22" s="313">
        <f t="shared" si="15"/>
        <v>976789.5</v>
      </c>
      <c r="K22" s="313">
        <f t="shared" si="15"/>
        <v>1500247.4100000001</v>
      </c>
      <c r="L22" s="313">
        <f t="shared" si="15"/>
        <v>1302607.4400000002</v>
      </c>
      <c r="M22" s="313">
        <f t="shared" si="15"/>
        <v>1551416.22</v>
      </c>
      <c r="N22" s="313">
        <f>+N23+N24+N25+N30</f>
        <v>14442419.08</v>
      </c>
      <c r="O22" s="313">
        <f>+O23+O24+O25+O30</f>
        <v>0</v>
      </c>
      <c r="P22" s="313">
        <f>+P23+P24+P25+P30</f>
        <v>0</v>
      </c>
      <c r="Q22" s="313">
        <f>+N22-P22</f>
        <v>14442419.08</v>
      </c>
      <c r="R22" s="297" t="e">
        <f t="shared" si="14"/>
        <v>#DIV/0!</v>
      </c>
    </row>
    <row r="23" spans="1:18" ht="18.75">
      <c r="A23" s="303" t="s">
        <v>135</v>
      </c>
      <c r="B23" s="301">
        <v>449356</v>
      </c>
      <c r="C23" s="300">
        <v>378789.19</v>
      </c>
      <c r="D23" s="300">
        <v>833538.13</v>
      </c>
      <c r="E23" s="300">
        <v>457959.06</v>
      </c>
      <c r="F23" s="300">
        <v>398486.21</v>
      </c>
      <c r="G23" s="419">
        <v>461644.38</v>
      </c>
      <c r="H23" s="432">
        <v>619537.31000000006</v>
      </c>
      <c r="I23" s="301">
        <v>475951.13</v>
      </c>
      <c r="J23" s="301">
        <v>416014.77</v>
      </c>
      <c r="K23" s="300">
        <v>556760.30000000005</v>
      </c>
      <c r="L23" s="300">
        <v>524720.75</v>
      </c>
      <c r="M23" s="300">
        <v>715052.39</v>
      </c>
      <c r="N23" s="300">
        <f>SUM(B23:M23)</f>
        <v>6287809.6199999992</v>
      </c>
      <c r="O23" s="300"/>
      <c r="P23" s="300">
        <f>+O23/12*$R$20</f>
        <v>0</v>
      </c>
      <c r="Q23" s="300">
        <f>+N23-P23</f>
        <v>6287809.6199999992</v>
      </c>
      <c r="R23" s="302" t="e">
        <f t="shared" si="14"/>
        <v>#DIV/0!</v>
      </c>
    </row>
    <row r="24" spans="1:18">
      <c r="A24" s="303" t="s">
        <v>136</v>
      </c>
      <c r="B24" s="300">
        <v>102841</v>
      </c>
      <c r="C24" s="300">
        <v>151807.48000000001</v>
      </c>
      <c r="D24" s="300">
        <v>251097.54</v>
      </c>
      <c r="E24" s="300">
        <v>179180.43</v>
      </c>
      <c r="F24" s="300">
        <v>179573.89</v>
      </c>
      <c r="G24" s="419">
        <v>256879.25</v>
      </c>
      <c r="H24" s="301">
        <v>336778.61</v>
      </c>
      <c r="I24" s="301">
        <v>191435.09</v>
      </c>
      <c r="J24" s="301">
        <v>115199.19</v>
      </c>
      <c r="K24" s="300">
        <v>285756.99</v>
      </c>
      <c r="L24" s="300">
        <v>159158.26999999999</v>
      </c>
      <c r="M24" s="300">
        <v>372751.08</v>
      </c>
      <c r="N24" s="300">
        <f t="shared" ref="N24" si="17">SUM(B24:M24)</f>
        <v>2582458.8199999998</v>
      </c>
      <c r="O24" s="300"/>
      <c r="P24" s="300">
        <f>+O24/12*$R$20</f>
        <v>0</v>
      </c>
      <c r="Q24" s="300">
        <f t="shared" ref="Q24:Q30" si="18">+N24-P24</f>
        <v>2582458.8199999998</v>
      </c>
      <c r="R24" s="302" t="e">
        <f t="shared" si="14"/>
        <v>#DIV/0!</v>
      </c>
    </row>
    <row r="25" spans="1:18">
      <c r="A25" s="298" t="s">
        <v>137</v>
      </c>
      <c r="B25" s="296">
        <f t="shared" ref="B25:M25" si="19">+B26+B27+B28+B29</f>
        <v>263301</v>
      </c>
      <c r="C25" s="296">
        <f t="shared" si="19"/>
        <v>344327.21</v>
      </c>
      <c r="D25" s="296">
        <f t="shared" si="19"/>
        <v>182639.85</v>
      </c>
      <c r="E25" s="296">
        <f t="shared" ref="E25" si="20">+E26+E27+E28+E29</f>
        <v>399180.16000000003</v>
      </c>
      <c r="F25" s="296">
        <f t="shared" si="19"/>
        <v>360764.85</v>
      </c>
      <c r="G25" s="296">
        <f t="shared" si="19"/>
        <v>317236.5</v>
      </c>
      <c r="H25" s="296">
        <f>+H26+H27+H28+H29</f>
        <v>589185.57999999996</v>
      </c>
      <c r="I25" s="296">
        <f>+I26+I27+I28+I29</f>
        <v>414850</v>
      </c>
      <c r="J25" s="296">
        <f t="shared" si="19"/>
        <v>302593.42000000004</v>
      </c>
      <c r="K25" s="296">
        <f t="shared" si="19"/>
        <v>507114.05</v>
      </c>
      <c r="L25" s="296">
        <f t="shared" si="19"/>
        <v>390150.39</v>
      </c>
      <c r="M25" s="296">
        <f t="shared" si="19"/>
        <v>358528.01</v>
      </c>
      <c r="N25" s="296">
        <f>+N26+N27+N29</f>
        <v>3981362.14</v>
      </c>
      <c r="O25" s="296">
        <f>+O26+O27+O29</f>
        <v>0</v>
      </c>
      <c r="P25" s="296">
        <f>+P26+P27+P29</f>
        <v>0</v>
      </c>
      <c r="Q25" s="296">
        <f t="shared" si="18"/>
        <v>3981362.14</v>
      </c>
      <c r="R25" s="297" t="e">
        <f t="shared" si="14"/>
        <v>#DIV/0!</v>
      </c>
    </row>
    <row r="26" spans="1:18">
      <c r="A26" s="299" t="s">
        <v>138</v>
      </c>
      <c r="B26" s="300">
        <v>156730</v>
      </c>
      <c r="C26" s="300">
        <v>176551.7</v>
      </c>
      <c r="D26" s="300">
        <v>0</v>
      </c>
      <c r="E26" s="300">
        <v>225419.23</v>
      </c>
      <c r="F26" s="300">
        <v>273268.49</v>
      </c>
      <c r="G26" s="300">
        <v>206060.16</v>
      </c>
      <c r="H26" s="301">
        <v>285532.94</v>
      </c>
      <c r="I26" s="301">
        <v>301630.95</v>
      </c>
      <c r="J26" s="301">
        <v>180747.76</v>
      </c>
      <c r="K26" s="300">
        <v>181884.38</v>
      </c>
      <c r="L26" s="300">
        <v>246429.23</v>
      </c>
      <c r="M26" s="300">
        <v>183252.91</v>
      </c>
      <c r="N26" s="300">
        <f t="shared" ref="N26:N30" si="21">SUM(B26:M26)</f>
        <v>2417507.75</v>
      </c>
      <c r="O26" s="300"/>
      <c r="P26" s="300">
        <f>+O26/12*$R$20</f>
        <v>0</v>
      </c>
      <c r="Q26" s="300">
        <f t="shared" si="18"/>
        <v>2417507.75</v>
      </c>
      <c r="R26" s="302"/>
    </row>
    <row r="27" spans="1:18" ht="18.75">
      <c r="A27" s="299" t="s">
        <v>139</v>
      </c>
      <c r="B27" s="300">
        <v>0</v>
      </c>
      <c r="C27" s="300">
        <v>118352.89</v>
      </c>
      <c r="D27" s="300">
        <v>58088.44</v>
      </c>
      <c r="E27" s="300">
        <v>54258.35</v>
      </c>
      <c r="F27" s="300">
        <v>0</v>
      </c>
      <c r="G27" s="419">
        <v>102902.76</v>
      </c>
      <c r="H27" s="433">
        <v>50612.98</v>
      </c>
      <c r="I27" s="301">
        <v>67260.160000000003</v>
      </c>
      <c r="J27" s="301">
        <v>53787.58</v>
      </c>
      <c r="K27" s="300">
        <v>54592.36</v>
      </c>
      <c r="L27" s="300">
        <v>48630.63</v>
      </c>
      <c r="M27" s="300">
        <v>71918.16</v>
      </c>
      <c r="N27" s="300">
        <f t="shared" si="21"/>
        <v>680404.31</v>
      </c>
      <c r="O27" s="300"/>
      <c r="P27" s="300">
        <f>+O27/12*$R$20</f>
        <v>0</v>
      </c>
      <c r="Q27" s="300">
        <f>+N27-P27</f>
        <v>680404.31</v>
      </c>
      <c r="R27" s="302" t="e">
        <f>+Q27/P27</f>
        <v>#DIV/0!</v>
      </c>
    </row>
    <row r="28" spans="1:18">
      <c r="A28" s="299" t="s">
        <v>269</v>
      </c>
      <c r="B28" s="300">
        <v>0</v>
      </c>
      <c r="C28" s="300"/>
      <c r="D28" s="300">
        <v>111652.57</v>
      </c>
      <c r="E28" s="300">
        <v>3219.36</v>
      </c>
      <c r="F28" s="300">
        <v>0</v>
      </c>
      <c r="G28" s="300">
        <v>0</v>
      </c>
      <c r="H28" s="301">
        <v>162368.31</v>
      </c>
      <c r="I28" s="301">
        <v>0</v>
      </c>
      <c r="J28" s="301"/>
      <c r="K28" s="300">
        <v>171268.64</v>
      </c>
      <c r="L28" s="300"/>
      <c r="M28" s="300"/>
      <c r="N28" s="300">
        <f t="shared" si="21"/>
        <v>448508.88</v>
      </c>
      <c r="O28" s="300"/>
      <c r="P28" s="300"/>
      <c r="Q28" s="300"/>
      <c r="R28" s="302"/>
    </row>
    <row r="29" spans="1:18">
      <c r="A29" s="299" t="s">
        <v>140</v>
      </c>
      <c r="B29" s="300">
        <v>106571</v>
      </c>
      <c r="C29" s="300">
        <v>49422.62</v>
      </c>
      <c r="D29" s="300">
        <v>12898.84</v>
      </c>
      <c r="E29" s="300">
        <v>116283.22</v>
      </c>
      <c r="F29" s="300">
        <v>87496.36</v>
      </c>
      <c r="G29" s="300">
        <v>8273.58</v>
      </c>
      <c r="H29" s="301">
        <v>90671.35</v>
      </c>
      <c r="I29" s="301">
        <v>45958.89</v>
      </c>
      <c r="J29" s="301">
        <v>68058.080000000002</v>
      </c>
      <c r="K29" s="300">
        <v>99368.67</v>
      </c>
      <c r="L29" s="300">
        <v>95090.53</v>
      </c>
      <c r="M29" s="300">
        <v>103356.94</v>
      </c>
      <c r="N29" s="300">
        <f t="shared" si="21"/>
        <v>883450.08000000007</v>
      </c>
      <c r="O29" s="300"/>
      <c r="P29" s="300">
        <f>+O29/12*$R$20</f>
        <v>0</v>
      </c>
      <c r="Q29" s="300">
        <f t="shared" si="18"/>
        <v>883450.08000000007</v>
      </c>
      <c r="R29" s="302"/>
    </row>
    <row r="30" spans="1:18">
      <c r="A30" s="303" t="s">
        <v>270</v>
      </c>
      <c r="B30" s="300">
        <v>62414</v>
      </c>
      <c r="C30" s="300">
        <v>68384.149999999994</v>
      </c>
      <c r="D30" s="300">
        <v>135423.93</v>
      </c>
      <c r="E30" s="300">
        <v>134563.76999999999</v>
      </c>
      <c r="F30" s="300">
        <v>138932.43</v>
      </c>
      <c r="G30" s="300">
        <v>189469.48</v>
      </c>
      <c r="H30" s="301">
        <v>146858.60999999999</v>
      </c>
      <c r="I30" s="301">
        <v>87481.17</v>
      </c>
      <c r="J30" s="301">
        <v>142982.12</v>
      </c>
      <c r="K30" s="300">
        <v>150616.07</v>
      </c>
      <c r="L30" s="300">
        <v>228578.03</v>
      </c>
      <c r="M30" s="300">
        <v>105084.74</v>
      </c>
      <c r="N30" s="300">
        <f t="shared" si="21"/>
        <v>1590788.5000000002</v>
      </c>
      <c r="O30" s="300"/>
      <c r="P30" s="300">
        <f>+O30/12*$R$20</f>
        <v>0</v>
      </c>
      <c r="Q30" s="300">
        <f t="shared" si="18"/>
        <v>1590788.5000000002</v>
      </c>
      <c r="R30" s="314">
        <v>4.7587328311763356E-2</v>
      </c>
    </row>
    <row r="31" spans="1:18">
      <c r="A31" s="303"/>
      <c r="B31" s="315"/>
      <c r="C31" s="315"/>
      <c r="D31" s="300"/>
      <c r="E31" s="300"/>
      <c r="F31" s="300"/>
      <c r="G31" s="300"/>
      <c r="H31" s="301"/>
      <c r="I31" s="301"/>
      <c r="J31" s="301"/>
      <c r="K31" s="300"/>
      <c r="L31" s="300"/>
      <c r="M31" s="300"/>
      <c r="N31" s="300"/>
      <c r="O31" s="300"/>
      <c r="P31" s="300"/>
      <c r="Q31" s="300"/>
      <c r="R31" s="314"/>
    </row>
    <row r="32" spans="1:18">
      <c r="A32" s="316" t="s">
        <v>295</v>
      </c>
      <c r="B32" s="316"/>
      <c r="C32" s="316"/>
      <c r="D32" s="300"/>
      <c r="E32" s="300"/>
      <c r="F32" s="300"/>
      <c r="G32" s="300"/>
      <c r="H32" s="301"/>
      <c r="I32" s="300"/>
      <c r="J32" s="300"/>
      <c r="K32" s="300"/>
      <c r="L32" s="300"/>
      <c r="M32" s="300"/>
      <c r="N32" s="300"/>
      <c r="O32" s="300"/>
      <c r="P32" s="300"/>
      <c r="Q32" s="300"/>
      <c r="R32" s="302"/>
    </row>
    <row r="33" spans="1:19">
      <c r="A33" s="317" t="s">
        <v>141</v>
      </c>
      <c r="B33" s="313">
        <f>+B11-B22</f>
        <v>721038.39999999991</v>
      </c>
      <c r="C33" s="313">
        <f t="shared" ref="C33:M33" si="22">+C11-C22</f>
        <v>483164.99999999965</v>
      </c>
      <c r="D33" s="313">
        <f t="shared" si="22"/>
        <v>-56246.810000000056</v>
      </c>
      <c r="E33" s="313">
        <f t="shared" ref="E33" si="23">+E11-E22</f>
        <v>111563.4700000002</v>
      </c>
      <c r="F33" s="313">
        <f t="shared" si="22"/>
        <v>350173.12999999966</v>
      </c>
      <c r="G33" s="313">
        <f t="shared" si="22"/>
        <v>-32505.950000000186</v>
      </c>
      <c r="H33" s="313">
        <f t="shared" si="22"/>
        <v>-204139.55999999982</v>
      </c>
      <c r="I33" s="313">
        <f t="shared" si="22"/>
        <v>153320.65000000014</v>
      </c>
      <c r="J33" s="313">
        <f t="shared" si="22"/>
        <v>278562.68999999994</v>
      </c>
      <c r="K33" s="313">
        <f t="shared" si="22"/>
        <v>-260999.84000000032</v>
      </c>
      <c r="L33" s="313">
        <f t="shared" si="22"/>
        <v>-176916.2200000002</v>
      </c>
      <c r="M33" s="313">
        <f t="shared" si="22"/>
        <v>16691.409999999916</v>
      </c>
      <c r="N33" s="313">
        <f>+N11-N22</f>
        <v>1832215.25</v>
      </c>
      <c r="O33" s="313">
        <f>+O11-O22</f>
        <v>0</v>
      </c>
      <c r="P33" s="313">
        <f>+P11-P22</f>
        <v>0</v>
      </c>
      <c r="Q33" s="313">
        <f>+N33-P33</f>
        <v>1832215.25</v>
      </c>
      <c r="R33" s="302" t="e">
        <f>+Q33/P33</f>
        <v>#DIV/0!</v>
      </c>
    </row>
    <row r="34" spans="1:19">
      <c r="A34" s="306" t="s">
        <v>142</v>
      </c>
      <c r="B34" s="300"/>
      <c r="C34" s="300"/>
      <c r="D34" s="300"/>
      <c r="E34" s="300"/>
      <c r="F34" s="300"/>
      <c r="G34" s="300"/>
      <c r="H34" s="301"/>
      <c r="I34" s="300"/>
      <c r="J34" s="300"/>
      <c r="K34" s="300"/>
      <c r="L34" s="300"/>
      <c r="M34" s="300"/>
      <c r="N34" s="300">
        <f t="shared" ref="N34" si="24">SUM(B34:M34)</f>
        <v>0</v>
      </c>
      <c r="O34" s="300"/>
      <c r="P34" s="300">
        <f t="shared" ref="P34:P35" si="25">+O34/12*$R$20</f>
        <v>0</v>
      </c>
      <c r="Q34" s="300">
        <f>+N34-P34</f>
        <v>0</v>
      </c>
      <c r="R34" s="302" t="e">
        <f t="shared" si="11"/>
        <v>#DIV/0!</v>
      </c>
    </row>
    <row r="35" spans="1:19">
      <c r="A35" s="295" t="s">
        <v>143</v>
      </c>
      <c r="B35" s="296">
        <f>B36+B37+B38</f>
        <v>608982</v>
      </c>
      <c r="C35" s="296">
        <f t="shared" ref="C35:M35" si="26">C36+C37+C38</f>
        <v>400965.4</v>
      </c>
      <c r="D35" s="296">
        <f t="shared" si="26"/>
        <v>482435.5</v>
      </c>
      <c r="E35" s="296">
        <f t="shared" ref="E35" si="27">E36+E37+E38</f>
        <v>430773.82</v>
      </c>
      <c r="F35" s="296">
        <f t="shared" si="26"/>
        <v>119107.92</v>
      </c>
      <c r="G35" s="296">
        <f t="shared" si="26"/>
        <v>28770</v>
      </c>
      <c r="H35" s="296">
        <f t="shared" si="26"/>
        <v>354501.12</v>
      </c>
      <c r="I35" s="296">
        <f t="shared" si="26"/>
        <v>5395.49</v>
      </c>
      <c r="J35" s="296">
        <f t="shared" si="26"/>
        <v>51724</v>
      </c>
      <c r="K35" s="296">
        <f t="shared" si="26"/>
        <v>97724.69</v>
      </c>
      <c r="L35" s="296">
        <f t="shared" si="26"/>
        <v>24618.12</v>
      </c>
      <c r="M35" s="296">
        <f t="shared" si="26"/>
        <v>0</v>
      </c>
      <c r="N35" s="296">
        <f t="shared" ref="N35" si="28">+N36+N37+N38</f>
        <v>2604998.0599999996</v>
      </c>
      <c r="O35" s="296">
        <v>0</v>
      </c>
      <c r="P35" s="296">
        <f t="shared" si="25"/>
        <v>0</v>
      </c>
      <c r="Q35" s="296">
        <f>+N35-P35</f>
        <v>2604998.0599999996</v>
      </c>
      <c r="R35" s="297" t="e">
        <f t="shared" si="11"/>
        <v>#DIV/0!</v>
      </c>
      <c r="S35" s="318">
        <v>21</v>
      </c>
    </row>
    <row r="36" spans="1:19">
      <c r="A36" s="299" t="s">
        <v>144</v>
      </c>
      <c r="B36" s="300"/>
      <c r="C36" s="300">
        <v>391785.5</v>
      </c>
      <c r="D36" s="300">
        <v>370435.5</v>
      </c>
      <c r="E36" s="300">
        <v>0</v>
      </c>
      <c r="F36" s="300"/>
      <c r="G36" s="300"/>
      <c r="H36" s="301"/>
      <c r="I36" s="300"/>
      <c r="J36" s="300">
        <v>51724</v>
      </c>
      <c r="K36" s="300">
        <v>96604.86</v>
      </c>
      <c r="L36" s="300">
        <v>24618.12</v>
      </c>
      <c r="M36" s="300"/>
      <c r="N36" s="300">
        <f t="shared" ref="N36:N38" si="29">SUM(B36:M36)</f>
        <v>935167.98</v>
      </c>
      <c r="O36" s="300"/>
      <c r="P36" s="300"/>
      <c r="Q36" s="300"/>
      <c r="R36" s="302"/>
    </row>
    <row r="37" spans="1:19">
      <c r="A37" s="299" t="s">
        <v>145</v>
      </c>
      <c r="B37" s="300"/>
      <c r="C37" s="300"/>
      <c r="D37" s="300"/>
      <c r="E37" s="300"/>
      <c r="F37" s="300"/>
      <c r="G37" s="300"/>
      <c r="H37" s="301"/>
      <c r="I37" s="300"/>
      <c r="J37" s="300"/>
      <c r="K37" s="300"/>
      <c r="L37" s="300"/>
      <c r="M37" s="300"/>
      <c r="N37" s="300">
        <f t="shared" si="29"/>
        <v>0</v>
      </c>
      <c r="O37" s="300"/>
      <c r="P37" s="300"/>
      <c r="Q37" s="300"/>
      <c r="R37" s="302"/>
    </row>
    <row r="38" spans="1:19">
      <c r="A38" s="299" t="s">
        <v>146</v>
      </c>
      <c r="B38" s="300">
        <v>608982</v>
      </c>
      <c r="C38" s="300">
        <v>9179.9</v>
      </c>
      <c r="D38" s="300">
        <v>112000</v>
      </c>
      <c r="E38" s="300">
        <v>430773.82</v>
      </c>
      <c r="F38" s="300">
        <v>119107.92</v>
      </c>
      <c r="G38" s="300">
        <v>28770</v>
      </c>
      <c r="H38" s="301">
        <v>354501.12</v>
      </c>
      <c r="I38" s="301">
        <v>5395.49</v>
      </c>
      <c r="J38" s="301"/>
      <c r="K38" s="300">
        <v>1119.83</v>
      </c>
      <c r="L38" s="300"/>
      <c r="M38" s="300"/>
      <c r="N38" s="300">
        <f t="shared" si="29"/>
        <v>1669830.0799999998</v>
      </c>
      <c r="O38" s="300"/>
      <c r="P38" s="300"/>
      <c r="Q38" s="300"/>
      <c r="R38" s="302"/>
    </row>
    <row r="39" spans="1:19">
      <c r="A39" s="319" t="s">
        <v>147</v>
      </c>
      <c r="B39" s="320">
        <f>+B33-B34-B35</f>
        <v>112056.39999999991</v>
      </c>
      <c r="C39" s="320">
        <f t="shared" ref="C39:M39" si="30">+C33-C34-C35</f>
        <v>82199.599999999627</v>
      </c>
      <c r="D39" s="320">
        <f t="shared" si="30"/>
        <v>-538682.31000000006</v>
      </c>
      <c r="E39" s="320">
        <f t="shared" ref="E39" si="31">+E33-E34-E35</f>
        <v>-319210.3499999998</v>
      </c>
      <c r="F39" s="320">
        <f t="shared" si="30"/>
        <v>231065.20999999967</v>
      </c>
      <c r="G39" s="320">
        <f t="shared" si="30"/>
        <v>-61275.950000000186</v>
      </c>
      <c r="H39" s="320">
        <f>+H33-H34-H35</f>
        <v>-558640.67999999982</v>
      </c>
      <c r="I39" s="320">
        <f t="shared" si="30"/>
        <v>147925.16000000015</v>
      </c>
      <c r="J39" s="320">
        <f t="shared" si="30"/>
        <v>226838.68999999994</v>
      </c>
      <c r="K39" s="320">
        <f t="shared" si="30"/>
        <v>-358724.53000000032</v>
      </c>
      <c r="L39" s="320">
        <f t="shared" si="30"/>
        <v>-201534.3400000002</v>
      </c>
      <c r="M39" s="320">
        <f t="shared" si="30"/>
        <v>16691.409999999916</v>
      </c>
      <c r="N39" s="320">
        <f>+N33-N34-N35</f>
        <v>-772782.80999999959</v>
      </c>
      <c r="O39" s="320">
        <f t="shared" ref="O39:P39" si="32">+O33-O34-O35</f>
        <v>0</v>
      </c>
      <c r="P39" s="320">
        <f t="shared" si="32"/>
        <v>0</v>
      </c>
      <c r="Q39" s="320">
        <f t="shared" ref="Q39" si="33">+N39-P39</f>
        <v>-772782.80999999959</v>
      </c>
      <c r="R39" s="314">
        <v>0</v>
      </c>
    </row>
    <row r="40" spans="1:19">
      <c r="A40" s="306" t="s">
        <v>148</v>
      </c>
      <c r="B40" s="300"/>
      <c r="C40" s="300"/>
      <c r="D40" s="300"/>
      <c r="E40" s="300"/>
      <c r="F40" s="300"/>
      <c r="G40" s="300"/>
      <c r="H40" s="300"/>
      <c r="I40" s="300"/>
      <c r="J40" s="320">
        <v>1760295.97</v>
      </c>
      <c r="K40" s="300"/>
      <c r="L40" s="300"/>
      <c r="M40" s="300">
        <v>3679127.56</v>
      </c>
      <c r="N40" s="300">
        <f t="shared" ref="N40:Q40" si="34">SUM(B40:M40)</f>
        <v>5439423.5300000003</v>
      </c>
      <c r="O40" s="300">
        <f t="shared" si="34"/>
        <v>10878847.060000001</v>
      </c>
      <c r="P40" s="300">
        <f t="shared" si="34"/>
        <v>21757694.120000001</v>
      </c>
      <c r="Q40" s="300">
        <f t="shared" si="34"/>
        <v>43515388.240000002</v>
      </c>
      <c r="R40" s="302">
        <v>0</v>
      </c>
    </row>
    <row r="41" spans="1:19">
      <c r="A41" s="321" t="s">
        <v>149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2"/>
    </row>
    <row r="42" spans="1:19">
      <c r="A42" s="308" t="s">
        <v>150</v>
      </c>
      <c r="B42" s="301">
        <f>SUM(B43:B45)</f>
        <v>2442705.1</v>
      </c>
      <c r="C42" s="301">
        <f t="shared" ref="C42:N42" si="35">SUM(C43:C45)</f>
        <v>2554047.8600000003</v>
      </c>
      <c r="D42" s="301">
        <f t="shared" si="35"/>
        <v>1824627.54</v>
      </c>
      <c r="E42" s="301">
        <f t="shared" ref="E42" si="36">SUM(E43:E45)</f>
        <v>1510135.6500000001</v>
      </c>
      <c r="F42" s="301">
        <f t="shared" si="35"/>
        <v>1674326.95</v>
      </c>
      <c r="G42" s="301">
        <f t="shared" si="35"/>
        <v>2014509.6099999999</v>
      </c>
      <c r="H42" s="301">
        <f>SUM(H43:H45)</f>
        <v>1407054.3599999999</v>
      </c>
      <c r="I42" s="301">
        <f t="shared" si="35"/>
        <v>1848461.37</v>
      </c>
      <c r="J42" s="301">
        <f t="shared" si="35"/>
        <v>2220804.85</v>
      </c>
      <c r="K42" s="301">
        <f t="shared" si="35"/>
        <v>1870649.95</v>
      </c>
      <c r="L42" s="301">
        <f t="shared" si="35"/>
        <v>1469230.31</v>
      </c>
      <c r="M42" s="301">
        <f t="shared" si="35"/>
        <v>1708801.94</v>
      </c>
      <c r="N42" s="301">
        <f t="shared" si="35"/>
        <v>22545355.490000002</v>
      </c>
      <c r="O42" s="301"/>
      <c r="P42" s="300"/>
      <c r="Q42" s="300"/>
      <c r="R42" s="302"/>
    </row>
    <row r="43" spans="1:19">
      <c r="A43" s="299" t="s">
        <v>151</v>
      </c>
      <c r="B43" s="301">
        <v>1794815.42</v>
      </c>
      <c r="C43" s="300">
        <v>2019681.65</v>
      </c>
      <c r="D43" s="300">
        <v>1086536.1299999999</v>
      </c>
      <c r="E43" s="300">
        <v>761970.42</v>
      </c>
      <c r="F43" s="300">
        <v>833498.81</v>
      </c>
      <c r="G43" s="300">
        <v>1104666.6499999999</v>
      </c>
      <c r="H43" s="301">
        <v>429362.11</v>
      </c>
      <c r="I43" s="301">
        <v>780014.58</v>
      </c>
      <c r="J43" s="301">
        <v>1030646.41</v>
      </c>
      <c r="K43" s="300">
        <v>638988.71</v>
      </c>
      <c r="L43" s="300">
        <v>505402.64</v>
      </c>
      <c r="M43" s="300">
        <v>793171.77</v>
      </c>
      <c r="N43" s="300">
        <f>SUM(B43:M43)</f>
        <v>11778755.300000001</v>
      </c>
      <c r="O43" s="300"/>
      <c r="P43" s="300"/>
      <c r="Q43" s="300"/>
      <c r="R43" s="302"/>
    </row>
    <row r="44" spans="1:19">
      <c r="A44" s="299" t="s">
        <v>152</v>
      </c>
      <c r="B44" s="300">
        <v>621231.64</v>
      </c>
      <c r="C44" s="300">
        <v>506821.76</v>
      </c>
      <c r="D44" s="300">
        <v>707529.1</v>
      </c>
      <c r="E44" s="300">
        <v>678909.76</v>
      </c>
      <c r="F44" s="300">
        <v>781913.34</v>
      </c>
      <c r="G44" s="300">
        <v>872667.96</v>
      </c>
      <c r="H44" s="434">
        <f>205709.88+517626.02+218946.35</f>
        <v>942282.25</v>
      </c>
      <c r="I44" s="301">
        <v>1038329.44</v>
      </c>
      <c r="J44" s="301">
        <v>1159645.08</v>
      </c>
      <c r="K44" s="300">
        <v>1201456.8799999999</v>
      </c>
      <c r="L44" s="300">
        <v>930778.08</v>
      </c>
      <c r="M44" s="300">
        <v>885500.79</v>
      </c>
      <c r="N44" s="300">
        <f t="shared" ref="N44:N49" si="37">SUM(B44:M44)</f>
        <v>10327066.080000002</v>
      </c>
      <c r="O44" s="300"/>
      <c r="P44" s="300"/>
      <c r="Q44" s="300"/>
      <c r="R44" s="302"/>
    </row>
    <row r="45" spans="1:19">
      <c r="A45" s="299" t="s">
        <v>153</v>
      </c>
      <c r="B45" s="300">
        <v>26658.04</v>
      </c>
      <c r="C45" s="300">
        <v>27544.45</v>
      </c>
      <c r="D45" s="300">
        <v>30562.31</v>
      </c>
      <c r="E45" s="300">
        <v>69255.47</v>
      </c>
      <c r="F45" s="300">
        <v>58914.8</v>
      </c>
      <c r="G45" s="300">
        <v>37175</v>
      </c>
      <c r="H45" s="301">
        <f>15000+20410</f>
        <v>35410</v>
      </c>
      <c r="I45" s="301">
        <v>30117.35</v>
      </c>
      <c r="J45" s="301">
        <v>30513.360000000001</v>
      </c>
      <c r="K45" s="300">
        <v>30204.36</v>
      </c>
      <c r="L45" s="300">
        <v>33049.589999999997</v>
      </c>
      <c r="M45" s="300">
        <v>30129.38</v>
      </c>
      <c r="N45" s="300">
        <f t="shared" si="37"/>
        <v>439534.11</v>
      </c>
      <c r="O45" s="300"/>
      <c r="P45" s="300"/>
      <c r="Q45" s="300"/>
      <c r="R45" s="302"/>
    </row>
    <row r="46" spans="1:19">
      <c r="A46" s="306" t="s">
        <v>154</v>
      </c>
      <c r="B46" s="300">
        <v>4072610.29</v>
      </c>
      <c r="C46" s="300">
        <v>4100084.26</v>
      </c>
      <c r="D46" s="300">
        <v>3136279</v>
      </c>
      <c r="E46" s="300">
        <v>2627330.5499999998</v>
      </c>
      <c r="F46" s="300">
        <v>2966028.8</v>
      </c>
      <c r="G46" s="300">
        <v>3184324.36</v>
      </c>
      <c r="H46" s="301">
        <v>2604243.12</v>
      </c>
      <c r="I46" s="301">
        <v>2983060.42</v>
      </c>
      <c r="J46" s="301">
        <v>3603392.87</v>
      </c>
      <c r="K46" s="300">
        <v>3302262.97</v>
      </c>
      <c r="L46" s="300">
        <v>2885008.25</v>
      </c>
      <c r="M46" s="300">
        <v>2908687.71</v>
      </c>
      <c r="N46" s="300">
        <f t="shared" si="37"/>
        <v>38373312.600000001</v>
      </c>
      <c r="O46" s="300"/>
      <c r="P46" s="300"/>
      <c r="Q46" s="300"/>
      <c r="R46" s="302"/>
    </row>
    <row r="47" spans="1:19">
      <c r="A47" s="306" t="s">
        <v>155</v>
      </c>
      <c r="B47" s="300">
        <v>51248553.479999997</v>
      </c>
      <c r="C47" s="300">
        <v>51640163.25</v>
      </c>
      <c r="D47" s="300">
        <v>51121938.030000001</v>
      </c>
      <c r="E47" s="300">
        <v>51006908</v>
      </c>
      <c r="F47" s="300">
        <v>51359347.670000002</v>
      </c>
      <c r="G47" s="300">
        <v>51551943.600000001</v>
      </c>
      <c r="H47" s="301">
        <v>51342467.600000001</v>
      </c>
      <c r="I47" s="301">
        <v>51672765.149999999</v>
      </c>
      <c r="J47" s="301">
        <v>54049489.100000001</v>
      </c>
      <c r="K47" s="300">
        <v>53790478.409999996</v>
      </c>
      <c r="L47" s="300">
        <v>53342246.32</v>
      </c>
      <c r="M47" s="300">
        <v>54782903.810000002</v>
      </c>
      <c r="N47" s="300">
        <f t="shared" si="37"/>
        <v>626909204.42000008</v>
      </c>
      <c r="O47" s="300"/>
      <c r="P47" s="300"/>
      <c r="Q47" s="300"/>
      <c r="R47" s="302"/>
    </row>
    <row r="48" spans="1:19">
      <c r="A48" s="306" t="s">
        <v>156</v>
      </c>
      <c r="B48" s="300">
        <v>2617580.41</v>
      </c>
      <c r="C48" s="300">
        <v>2756356.04</v>
      </c>
      <c r="D48" s="300">
        <v>2906654.03</v>
      </c>
      <c r="E48" s="300">
        <v>2214712.65</v>
      </c>
      <c r="F48" s="300">
        <v>2216979.19</v>
      </c>
      <c r="G48" s="300">
        <v>2442081.0699999998</v>
      </c>
      <c r="H48" s="301">
        <v>2436744.63</v>
      </c>
      <c r="I48" s="301">
        <v>2618424.88</v>
      </c>
      <c r="J48" s="301">
        <v>2674642.8199999998</v>
      </c>
      <c r="K48" s="300">
        <v>2676631.9700000002</v>
      </c>
      <c r="L48" s="300">
        <v>2405316.1</v>
      </c>
      <c r="M48" s="300">
        <v>1809275.29</v>
      </c>
      <c r="N48" s="300">
        <f t="shared" si="37"/>
        <v>29775399.079999998</v>
      </c>
      <c r="O48" s="300"/>
      <c r="P48" s="300"/>
      <c r="Q48" s="300"/>
      <c r="R48" s="302"/>
    </row>
    <row r="49" spans="1:19">
      <c r="A49" s="306" t="s">
        <v>157</v>
      </c>
      <c r="B49" s="300">
        <v>2617580.41</v>
      </c>
      <c r="C49" s="300">
        <v>2756356.04</v>
      </c>
      <c r="D49" s="300">
        <v>2906654.03</v>
      </c>
      <c r="E49" s="300">
        <v>2214712.65</v>
      </c>
      <c r="F49" s="300">
        <v>2216979.19</v>
      </c>
      <c r="G49" s="300">
        <v>2442081.0699999998</v>
      </c>
      <c r="H49" s="301">
        <v>2436744.63</v>
      </c>
      <c r="I49" s="301">
        <v>2618424.88</v>
      </c>
      <c r="J49" s="301">
        <v>2674642.8199999998</v>
      </c>
      <c r="K49" s="300">
        <v>2676631.9700000002</v>
      </c>
      <c r="L49" s="300">
        <v>2405316.1</v>
      </c>
      <c r="M49" s="300">
        <v>1809275.29</v>
      </c>
      <c r="N49" s="300">
        <f t="shared" si="37"/>
        <v>29775399.079999998</v>
      </c>
      <c r="O49" s="300"/>
      <c r="P49" s="300"/>
      <c r="Q49" s="300"/>
      <c r="R49" s="302"/>
    </row>
    <row r="50" spans="1:19">
      <c r="A50" s="306" t="s">
        <v>158</v>
      </c>
      <c r="B50" s="300"/>
      <c r="C50" s="300"/>
      <c r="D50" s="300"/>
      <c r="E50" s="300">
        <v>0</v>
      </c>
      <c r="F50" s="300">
        <v>0</v>
      </c>
      <c r="G50" s="300"/>
      <c r="H50" s="301"/>
      <c r="I50" s="301"/>
      <c r="J50" s="301"/>
      <c r="K50" s="300"/>
      <c r="L50" s="300"/>
      <c r="M50" s="300"/>
      <c r="N50" s="300"/>
      <c r="O50" s="300"/>
      <c r="P50" s="300"/>
      <c r="Q50" s="300"/>
      <c r="R50" s="302"/>
    </row>
    <row r="51" spans="1:19">
      <c r="A51" s="322"/>
      <c r="B51" s="323"/>
      <c r="C51" s="323"/>
      <c r="D51" s="323"/>
      <c r="E51" s="323"/>
      <c r="F51" s="323"/>
      <c r="G51" s="323"/>
      <c r="H51" s="323"/>
      <c r="I51" s="323"/>
      <c r="J51" s="323"/>
      <c r="K51" s="300"/>
      <c r="L51" s="323"/>
      <c r="M51" s="323"/>
      <c r="N51" s="323"/>
      <c r="O51" s="323"/>
      <c r="P51" s="323"/>
      <c r="Q51" s="323"/>
      <c r="R51" s="302"/>
    </row>
    <row r="52" spans="1:19">
      <c r="A52" s="324" t="s">
        <v>159</v>
      </c>
      <c r="B52" s="325">
        <f>+B53+B54+B55</f>
        <v>75656</v>
      </c>
      <c r="C52" s="325">
        <f t="shared" ref="C52:M52" si="38">+C53+C54+C55</f>
        <v>75473</v>
      </c>
      <c r="D52" s="325">
        <f t="shared" si="38"/>
        <v>65940</v>
      </c>
      <c r="E52" s="325">
        <f t="shared" ref="E52" si="39">+E53+E54+E55</f>
        <v>70227</v>
      </c>
      <c r="F52" s="325">
        <f t="shared" si="38"/>
        <v>80159</v>
      </c>
      <c r="G52" s="325">
        <f t="shared" si="38"/>
        <v>80491</v>
      </c>
      <c r="H52" s="325">
        <f t="shared" si="38"/>
        <v>60648</v>
      </c>
      <c r="I52" s="325">
        <f t="shared" si="38"/>
        <v>99855</v>
      </c>
      <c r="J52" s="325">
        <f t="shared" si="38"/>
        <v>69639</v>
      </c>
      <c r="K52" s="325">
        <f t="shared" si="38"/>
        <v>78022</v>
      </c>
      <c r="L52" s="325">
        <f t="shared" si="38"/>
        <v>0</v>
      </c>
      <c r="M52" s="325">
        <f t="shared" si="38"/>
        <v>0</v>
      </c>
      <c r="N52" s="325">
        <f t="shared" ref="N52" si="40">SUM(N53:N55)</f>
        <v>738030</v>
      </c>
      <c r="O52" s="325"/>
      <c r="P52" s="325"/>
      <c r="Q52" s="325"/>
      <c r="R52" s="325"/>
      <c r="S52" s="318">
        <v>9</v>
      </c>
    </row>
    <row r="53" spans="1:19">
      <c r="A53" s="306" t="s">
        <v>160</v>
      </c>
      <c r="B53" s="326">
        <v>75656</v>
      </c>
      <c r="C53" s="326">
        <v>57393</v>
      </c>
      <c r="D53" s="326">
        <v>52500</v>
      </c>
      <c r="E53" s="326">
        <v>70227</v>
      </c>
      <c r="F53" s="326">
        <v>63679</v>
      </c>
      <c r="G53" s="326">
        <v>80491</v>
      </c>
      <c r="H53" s="327">
        <v>60648</v>
      </c>
      <c r="I53" s="327">
        <v>82255</v>
      </c>
      <c r="J53" s="327">
        <v>53159</v>
      </c>
      <c r="K53" s="300">
        <v>70223</v>
      </c>
      <c r="L53" s="418"/>
      <c r="M53" s="418"/>
      <c r="N53" s="326">
        <f>SUM(B53:M53)</f>
        <v>666231</v>
      </c>
      <c r="O53" s="326"/>
      <c r="P53" s="326"/>
      <c r="Q53" s="326"/>
      <c r="R53" s="326"/>
    </row>
    <row r="54" spans="1:19" ht="15" customHeight="1">
      <c r="A54" s="306" t="s">
        <v>161</v>
      </c>
      <c r="B54" s="326"/>
      <c r="C54" s="326"/>
      <c r="D54" s="326"/>
      <c r="E54" s="326"/>
      <c r="F54" s="326"/>
      <c r="G54" s="326"/>
      <c r="H54" s="327"/>
      <c r="I54" s="327"/>
      <c r="J54" s="327"/>
      <c r="K54" s="300"/>
      <c r="L54" s="326"/>
      <c r="M54" s="326"/>
      <c r="N54" s="326"/>
      <c r="O54" s="326"/>
      <c r="P54" s="326"/>
      <c r="Q54" s="326"/>
      <c r="R54" s="326"/>
    </row>
    <row r="55" spans="1:19" ht="15" customHeight="1">
      <c r="A55" s="306" t="s">
        <v>162</v>
      </c>
      <c r="B55" s="326"/>
      <c r="C55" s="326">
        <v>18080</v>
      </c>
      <c r="D55" s="326">
        <v>13440</v>
      </c>
      <c r="E55" s="326">
        <v>0</v>
      </c>
      <c r="F55" s="326">
        <v>16480</v>
      </c>
      <c r="G55" s="326"/>
      <c r="H55" s="327"/>
      <c r="I55" s="327">
        <v>17600</v>
      </c>
      <c r="J55" s="327">
        <v>16480</v>
      </c>
      <c r="K55" s="300">
        <v>7799</v>
      </c>
      <c r="L55" s="418"/>
      <c r="M55" s="418"/>
      <c r="N55" s="326">
        <f>SUM(D55:M55)</f>
        <v>71799</v>
      </c>
      <c r="O55" s="326"/>
      <c r="P55" s="326"/>
      <c r="Q55" s="326"/>
      <c r="R55" s="326"/>
    </row>
    <row r="56" spans="1:19" ht="15" customHeight="1">
      <c r="A56" s="308"/>
      <c r="B56" s="326"/>
      <c r="C56" s="326"/>
      <c r="D56" s="326"/>
      <c r="E56" s="326"/>
      <c r="F56" s="326"/>
      <c r="G56" s="326"/>
      <c r="H56" s="327"/>
      <c r="I56" s="327"/>
      <c r="J56" s="327"/>
      <c r="K56" s="300"/>
      <c r="L56" s="326"/>
      <c r="M56" s="326"/>
      <c r="N56" s="326"/>
      <c r="O56" s="326"/>
      <c r="P56" s="326"/>
      <c r="Q56" s="326"/>
      <c r="R56" s="326"/>
    </row>
    <row r="57" spans="1:19">
      <c r="A57" s="328" t="s">
        <v>163</v>
      </c>
      <c r="B57" s="325">
        <f>+B58+B59+B60</f>
        <v>177750</v>
      </c>
      <c r="C57" s="325">
        <f>+C58+C59+C60</f>
        <v>193831</v>
      </c>
      <c r="D57" s="325">
        <f>+D58+D59+D60</f>
        <v>177749</v>
      </c>
      <c r="E57" s="325">
        <f>+E58+E59+E60</f>
        <v>185944</v>
      </c>
      <c r="F57" s="325">
        <f t="shared" ref="F57:M57" si="41">+F58+F59+F60</f>
        <v>123511</v>
      </c>
      <c r="G57" s="325">
        <f t="shared" si="41"/>
        <v>153752</v>
      </c>
      <c r="H57" s="325">
        <f t="shared" si="41"/>
        <v>290073</v>
      </c>
      <c r="I57" s="325">
        <f t="shared" si="41"/>
        <v>341095</v>
      </c>
      <c r="J57" s="325">
        <f t="shared" si="41"/>
        <v>158262</v>
      </c>
      <c r="K57" s="325">
        <f t="shared" si="41"/>
        <v>170878</v>
      </c>
      <c r="L57" s="325">
        <f t="shared" si="41"/>
        <v>0</v>
      </c>
      <c r="M57" s="325">
        <f t="shared" si="41"/>
        <v>0</v>
      </c>
      <c r="N57" s="325">
        <f>SUM(B57:M57)</f>
        <v>1972845</v>
      </c>
      <c r="O57" s="325"/>
      <c r="P57" s="325"/>
      <c r="Q57" s="325"/>
      <c r="R57" s="325"/>
      <c r="S57" s="318">
        <v>8</v>
      </c>
    </row>
    <row r="58" spans="1:19">
      <c r="A58" s="306" t="s">
        <v>160</v>
      </c>
      <c r="B58" s="326">
        <v>177750</v>
      </c>
      <c r="C58" s="326">
        <v>151759</v>
      </c>
      <c r="D58" s="326">
        <v>144547</v>
      </c>
      <c r="E58" s="326">
        <v>185944</v>
      </c>
      <c r="F58" s="326">
        <v>43046</v>
      </c>
      <c r="G58" s="326">
        <v>153752</v>
      </c>
      <c r="H58" s="327">
        <v>290073</v>
      </c>
      <c r="I58" s="327">
        <v>259439</v>
      </c>
      <c r="J58" s="327">
        <v>115973</v>
      </c>
      <c r="K58" s="300">
        <v>157465</v>
      </c>
      <c r="L58" s="418"/>
      <c r="M58" s="418"/>
      <c r="N58" s="326">
        <f>SUM(B58:M58)</f>
        <v>1679748</v>
      </c>
      <c r="O58" s="326"/>
      <c r="P58" s="326"/>
      <c r="Q58" s="326"/>
      <c r="R58" s="326"/>
    </row>
    <row r="59" spans="1:19">
      <c r="A59" s="306" t="s">
        <v>161</v>
      </c>
      <c r="B59" s="326"/>
      <c r="C59" s="326"/>
      <c r="D59" s="326"/>
      <c r="E59" s="326"/>
      <c r="F59" s="326"/>
      <c r="G59" s="326"/>
      <c r="H59" s="327"/>
      <c r="I59" s="327"/>
      <c r="J59" s="327"/>
      <c r="K59" s="300"/>
      <c r="L59" s="326"/>
      <c r="M59" s="326"/>
      <c r="N59" s="326"/>
      <c r="O59" s="326"/>
      <c r="P59" s="326"/>
      <c r="Q59" s="326"/>
      <c r="R59" s="326"/>
    </row>
    <row r="60" spans="1:19">
      <c r="A60" s="306" t="s">
        <v>162</v>
      </c>
      <c r="B60" s="326"/>
      <c r="C60" s="326">
        <v>42072</v>
      </c>
      <c r="D60" s="326">
        <v>33202</v>
      </c>
      <c r="E60" s="326">
        <v>0</v>
      </c>
      <c r="F60" s="326">
        <v>80465</v>
      </c>
      <c r="G60" s="326"/>
      <c r="H60" s="327"/>
      <c r="I60" s="327">
        <v>81656</v>
      </c>
      <c r="J60" s="327">
        <v>42289</v>
      </c>
      <c r="K60" s="300">
        <v>13413</v>
      </c>
      <c r="L60" s="418"/>
      <c r="M60" s="418"/>
      <c r="N60" s="326">
        <f>SUM(B60:M60)</f>
        <v>293097</v>
      </c>
      <c r="O60" s="326"/>
      <c r="P60" s="326"/>
      <c r="Q60" s="326"/>
      <c r="R60" s="326"/>
    </row>
    <row r="61" spans="1:19">
      <c r="A61" s="329"/>
      <c r="B61" s="326"/>
      <c r="C61" s="326"/>
      <c r="D61" s="326"/>
      <c r="E61" s="326"/>
      <c r="F61" s="326"/>
      <c r="G61" s="326"/>
      <c r="H61" s="327"/>
      <c r="I61" s="327"/>
      <c r="J61" s="327"/>
      <c r="K61" s="300"/>
      <c r="L61" s="326"/>
      <c r="M61" s="326"/>
      <c r="N61" s="326"/>
      <c r="O61" s="326"/>
      <c r="P61" s="326"/>
      <c r="Q61" s="326"/>
      <c r="R61" s="326"/>
    </row>
    <row r="62" spans="1:19">
      <c r="A62" s="330" t="s">
        <v>164</v>
      </c>
      <c r="B62" s="331">
        <v>1</v>
      </c>
      <c r="C62" s="331">
        <v>1</v>
      </c>
      <c r="D62" s="331">
        <v>1</v>
      </c>
      <c r="E62" s="331">
        <v>1</v>
      </c>
      <c r="F62" s="331">
        <v>1</v>
      </c>
      <c r="G62" s="331">
        <v>1</v>
      </c>
      <c r="H62" s="331">
        <v>1</v>
      </c>
      <c r="I62" s="331">
        <v>1</v>
      </c>
      <c r="J62" s="331">
        <v>1</v>
      </c>
      <c r="K62" s="332">
        <v>1</v>
      </c>
      <c r="L62" s="331">
        <v>1</v>
      </c>
      <c r="M62" s="331">
        <v>1</v>
      </c>
      <c r="N62" s="331"/>
      <c r="O62" s="331"/>
      <c r="P62" s="331"/>
      <c r="Q62" s="331"/>
      <c r="R62" s="331"/>
    </row>
    <row r="63" spans="1:19">
      <c r="A63" s="330" t="s">
        <v>165</v>
      </c>
      <c r="B63" s="331" t="s">
        <v>166</v>
      </c>
      <c r="C63" s="331" t="s">
        <v>166</v>
      </c>
      <c r="D63" s="331" t="s">
        <v>166</v>
      </c>
      <c r="E63" s="331" t="s">
        <v>166</v>
      </c>
      <c r="F63" s="331" t="s">
        <v>166</v>
      </c>
      <c r="G63" s="331" t="s">
        <v>166</v>
      </c>
      <c r="H63" s="331" t="s">
        <v>166</v>
      </c>
      <c r="I63" s="331" t="s">
        <v>166</v>
      </c>
      <c r="J63" s="331" t="s">
        <v>166</v>
      </c>
      <c r="K63" s="300" t="s">
        <v>166</v>
      </c>
      <c r="L63" s="331" t="s">
        <v>166</v>
      </c>
      <c r="M63" s="331" t="s">
        <v>166</v>
      </c>
      <c r="N63" s="331"/>
      <c r="O63" s="331"/>
      <c r="P63" s="331"/>
      <c r="Q63" s="331"/>
      <c r="R63" s="331"/>
    </row>
    <row r="64" spans="1:19">
      <c r="A64" s="333"/>
      <c r="B64" s="331"/>
      <c r="C64" s="331"/>
      <c r="D64" s="331"/>
      <c r="E64" s="331"/>
      <c r="F64" s="331"/>
      <c r="G64" s="331"/>
      <c r="H64" s="331"/>
      <c r="I64" s="331"/>
      <c r="J64" s="331"/>
      <c r="K64" s="300"/>
      <c r="L64" s="331"/>
      <c r="M64" s="331"/>
      <c r="N64" s="331"/>
      <c r="O64" s="331"/>
      <c r="P64" s="331"/>
      <c r="Q64" s="331"/>
      <c r="R64" s="331"/>
    </row>
    <row r="65" spans="1:19">
      <c r="A65" s="321" t="s">
        <v>167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00"/>
      <c r="L65" s="326"/>
      <c r="M65" s="326"/>
      <c r="N65" s="326"/>
      <c r="O65" s="326"/>
      <c r="P65" s="326"/>
      <c r="Q65" s="326"/>
      <c r="R65" s="326"/>
    </row>
    <row r="66" spans="1:19" ht="18.75">
      <c r="A66" s="328" t="s">
        <v>316</v>
      </c>
      <c r="B66" s="334">
        <f t="shared" ref="B66:M66" si="42">+B67+B70</f>
        <v>153134</v>
      </c>
      <c r="C66" s="334">
        <f t="shared" si="42"/>
        <v>138778</v>
      </c>
      <c r="D66" s="334">
        <f t="shared" si="42"/>
        <v>157818</v>
      </c>
      <c r="E66" s="334">
        <f t="shared" ref="E66" si="43">+E67+E70</f>
        <v>152672</v>
      </c>
      <c r="F66" s="334">
        <f t="shared" si="42"/>
        <v>155988</v>
      </c>
      <c r="G66" s="334">
        <f t="shared" si="42"/>
        <v>168273</v>
      </c>
      <c r="H66" s="334">
        <f t="shared" si="42"/>
        <v>170072</v>
      </c>
      <c r="I66" s="334">
        <f t="shared" si="42"/>
        <v>164236</v>
      </c>
      <c r="J66" s="334">
        <f t="shared" si="42"/>
        <v>158205</v>
      </c>
      <c r="K66" s="334">
        <f t="shared" si="42"/>
        <v>147838</v>
      </c>
      <c r="L66" s="334">
        <f t="shared" si="42"/>
        <v>129960</v>
      </c>
      <c r="M66" s="334">
        <f t="shared" si="42"/>
        <v>131727</v>
      </c>
      <c r="N66" s="325">
        <f>SUM(B66:M66)</f>
        <v>1828701</v>
      </c>
      <c r="O66" s="325"/>
      <c r="P66" s="325"/>
      <c r="Q66" s="325"/>
      <c r="R66" s="325"/>
      <c r="S66" s="318">
        <v>1</v>
      </c>
    </row>
    <row r="67" spans="1:19">
      <c r="A67" s="306" t="s">
        <v>168</v>
      </c>
      <c r="B67" s="326">
        <v>153134</v>
      </c>
      <c r="C67" s="326">
        <v>138778</v>
      </c>
      <c r="D67" s="335">
        <v>157818</v>
      </c>
      <c r="E67" s="335">
        <v>152672</v>
      </c>
      <c r="F67" s="335">
        <v>155988</v>
      </c>
      <c r="G67" s="420">
        <v>168273</v>
      </c>
      <c r="H67" s="326">
        <v>170072</v>
      </c>
      <c r="I67" s="326">
        <v>164236</v>
      </c>
      <c r="J67" s="335">
        <v>158205</v>
      </c>
      <c r="K67" s="337">
        <v>147838</v>
      </c>
      <c r="L67" s="326">
        <v>129960</v>
      </c>
      <c r="M67" s="326">
        <v>131727</v>
      </c>
      <c r="N67" s="326">
        <f>SUM(B67:M67)</f>
        <v>1828701</v>
      </c>
      <c r="O67" s="326"/>
      <c r="P67" s="326"/>
      <c r="Q67" s="326"/>
      <c r="R67" s="326"/>
    </row>
    <row r="68" spans="1:19">
      <c r="A68" s="306" t="s">
        <v>169</v>
      </c>
      <c r="B68" s="326"/>
      <c r="C68" s="326"/>
      <c r="D68" s="335"/>
      <c r="E68" s="335"/>
      <c r="F68" s="326"/>
      <c r="G68" s="326"/>
      <c r="H68" s="326"/>
      <c r="I68" s="326"/>
      <c r="J68" s="335"/>
      <c r="K68" s="300"/>
      <c r="L68" s="326"/>
      <c r="M68" s="326"/>
      <c r="N68" s="326"/>
      <c r="O68" s="326"/>
      <c r="P68" s="326"/>
      <c r="Q68" s="326"/>
      <c r="R68" s="326"/>
    </row>
    <row r="69" spans="1:19">
      <c r="A69" s="306" t="s">
        <v>170</v>
      </c>
      <c r="B69" s="326"/>
      <c r="C69" s="326"/>
      <c r="D69" s="335"/>
      <c r="E69" s="335"/>
      <c r="F69" s="331"/>
      <c r="G69" s="331"/>
      <c r="H69" s="331"/>
      <c r="I69" s="326"/>
      <c r="J69" s="335"/>
      <c r="K69" s="300"/>
      <c r="L69" s="326"/>
      <c r="M69" s="326"/>
      <c r="N69" s="326"/>
      <c r="O69" s="326"/>
      <c r="P69" s="326"/>
      <c r="Q69" s="326"/>
      <c r="R69" s="326"/>
    </row>
    <row r="70" spans="1:19">
      <c r="A70" s="336" t="s">
        <v>171</v>
      </c>
      <c r="B70" s="326"/>
      <c r="C70" s="326"/>
      <c r="D70" s="335"/>
      <c r="E70" s="335"/>
      <c r="F70" s="335"/>
      <c r="G70" s="335"/>
      <c r="H70" s="335"/>
      <c r="I70" s="326"/>
      <c r="J70" s="335"/>
      <c r="K70" s="337"/>
      <c r="L70" s="326"/>
      <c r="M70" s="326"/>
      <c r="N70" s="326"/>
      <c r="O70" s="326"/>
      <c r="P70" s="326"/>
      <c r="Q70" s="326"/>
      <c r="R70" s="326"/>
    </row>
    <row r="71" spans="1:19">
      <c r="A71" s="338"/>
      <c r="B71" s="339"/>
      <c r="C71" s="339"/>
      <c r="D71" s="331"/>
      <c r="E71" s="331"/>
      <c r="F71" s="339"/>
      <c r="G71" s="331"/>
      <c r="H71" s="331"/>
      <c r="I71" s="339"/>
      <c r="J71" s="331"/>
      <c r="K71" s="300"/>
      <c r="L71" s="339"/>
      <c r="M71" s="339"/>
      <c r="N71" s="339"/>
      <c r="O71" s="339"/>
      <c r="P71" s="339"/>
      <c r="Q71" s="339"/>
      <c r="R71" s="339"/>
    </row>
    <row r="72" spans="1:19">
      <c r="A72" s="340" t="s">
        <v>172</v>
      </c>
      <c r="B72" s="313">
        <f>+B73+B74+B75+B76+B77</f>
        <v>99833</v>
      </c>
      <c r="C72" s="313">
        <f t="shared" ref="C72:M72" si="44">+C73+C74+C75+C76+C77</f>
        <v>77150</v>
      </c>
      <c r="D72" s="313">
        <f t="shared" si="44"/>
        <v>81330</v>
      </c>
      <c r="E72" s="313">
        <f t="shared" ref="E72" si="45">+E73+E74+E75+E76+E77</f>
        <v>93514</v>
      </c>
      <c r="F72" s="313">
        <f t="shared" si="44"/>
        <v>95069</v>
      </c>
      <c r="G72" s="313">
        <f t="shared" si="44"/>
        <v>100885</v>
      </c>
      <c r="H72" s="313">
        <f t="shared" si="44"/>
        <v>103926</v>
      </c>
      <c r="I72" s="313">
        <f t="shared" si="44"/>
        <v>99501</v>
      </c>
      <c r="J72" s="313">
        <f t="shared" si="44"/>
        <v>89547</v>
      </c>
      <c r="K72" s="313">
        <f t="shared" si="44"/>
        <v>76933</v>
      </c>
      <c r="L72" s="313">
        <f t="shared" si="44"/>
        <v>71115</v>
      </c>
      <c r="M72" s="313">
        <f t="shared" si="44"/>
        <v>112328</v>
      </c>
      <c r="N72" s="313">
        <f>SUM(N73:N77)</f>
        <v>1101131</v>
      </c>
      <c r="O72" s="313"/>
      <c r="P72" s="313"/>
      <c r="Q72" s="313"/>
      <c r="R72" s="313"/>
      <c r="S72" s="318">
        <v>2</v>
      </c>
    </row>
    <row r="73" spans="1:19">
      <c r="A73" s="306" t="s">
        <v>173</v>
      </c>
      <c r="B73" s="326">
        <v>86073</v>
      </c>
      <c r="C73" s="326">
        <v>66575</v>
      </c>
      <c r="D73" s="341">
        <v>67584</v>
      </c>
      <c r="E73" s="341">
        <v>77382</v>
      </c>
      <c r="F73" s="326">
        <v>80071</v>
      </c>
      <c r="G73" s="326">
        <v>85182</v>
      </c>
      <c r="H73" s="326">
        <v>86217</v>
      </c>
      <c r="I73" s="326">
        <v>82232</v>
      </c>
      <c r="J73" s="326">
        <v>66758</v>
      </c>
      <c r="K73" s="300">
        <v>62598</v>
      </c>
      <c r="L73" s="326">
        <v>58370</v>
      </c>
      <c r="M73" s="326">
        <v>88092</v>
      </c>
      <c r="N73" s="326">
        <f>SUM(B73:M73)</f>
        <v>907134</v>
      </c>
      <c r="O73" s="326"/>
      <c r="P73" s="326"/>
      <c r="Q73" s="326"/>
      <c r="R73" s="326"/>
    </row>
    <row r="74" spans="1:19">
      <c r="A74" s="306" t="s">
        <v>174</v>
      </c>
      <c r="B74" s="326">
        <v>4876</v>
      </c>
      <c r="C74" s="326">
        <v>4068</v>
      </c>
      <c r="D74" s="341">
        <v>4860</v>
      </c>
      <c r="E74" s="341">
        <v>5624</v>
      </c>
      <c r="F74" s="326">
        <v>5317</v>
      </c>
      <c r="G74" s="326">
        <v>6410</v>
      </c>
      <c r="H74" s="326">
        <v>7052</v>
      </c>
      <c r="I74" s="326">
        <v>5937</v>
      </c>
      <c r="J74" s="326">
        <v>11016</v>
      </c>
      <c r="K74" s="300">
        <v>4538</v>
      </c>
      <c r="L74" s="326">
        <v>4582</v>
      </c>
      <c r="M74" s="326">
        <v>6110</v>
      </c>
      <c r="N74" s="326">
        <f>SUM(B74:M74)</f>
        <v>70390</v>
      </c>
      <c r="O74" s="326"/>
      <c r="P74" s="326"/>
      <c r="Q74" s="326"/>
      <c r="R74" s="326"/>
    </row>
    <row r="75" spans="1:19">
      <c r="A75" s="306" t="s">
        <v>175</v>
      </c>
      <c r="B75" s="326">
        <v>3890</v>
      </c>
      <c r="C75" s="326">
        <v>3390</v>
      </c>
      <c r="D75" s="341">
        <v>4082</v>
      </c>
      <c r="E75" s="341">
        <v>4278</v>
      </c>
      <c r="F75" s="326">
        <v>3555</v>
      </c>
      <c r="G75" s="326">
        <v>3535</v>
      </c>
      <c r="H75" s="326">
        <v>4312</v>
      </c>
      <c r="I75" s="326">
        <v>5732</v>
      </c>
      <c r="J75" s="326">
        <v>4528</v>
      </c>
      <c r="K75" s="300">
        <v>5412</v>
      </c>
      <c r="L75" s="326">
        <v>4118</v>
      </c>
      <c r="M75" s="326">
        <v>8845</v>
      </c>
      <c r="N75" s="326">
        <f>SUM(B75:M75)</f>
        <v>55677</v>
      </c>
      <c r="O75" s="326"/>
      <c r="P75" s="326"/>
      <c r="Q75" s="326"/>
      <c r="R75" s="326"/>
    </row>
    <row r="76" spans="1:19">
      <c r="A76" s="306" t="s">
        <v>176</v>
      </c>
      <c r="B76" s="326">
        <v>1734</v>
      </c>
      <c r="C76" s="326">
        <v>630</v>
      </c>
      <c r="D76" s="341">
        <v>1761</v>
      </c>
      <c r="E76" s="341">
        <v>2258</v>
      </c>
      <c r="F76" s="326">
        <v>2412</v>
      </c>
      <c r="G76" s="326">
        <v>2078</v>
      </c>
      <c r="H76" s="326">
        <v>2289</v>
      </c>
      <c r="I76" s="326">
        <v>1897</v>
      </c>
      <c r="J76" s="326">
        <v>5014</v>
      </c>
      <c r="K76" s="300">
        <v>1305</v>
      </c>
      <c r="L76" s="326">
        <v>1234</v>
      </c>
      <c r="M76" s="326">
        <v>1635</v>
      </c>
      <c r="N76" s="326">
        <f>SUM(B76:M76)</f>
        <v>24247</v>
      </c>
      <c r="O76" s="326"/>
      <c r="P76" s="326"/>
      <c r="Q76" s="326"/>
      <c r="R76" s="326"/>
      <c r="S76" s="318">
        <v>22</v>
      </c>
    </row>
    <row r="77" spans="1:19">
      <c r="A77" s="306" t="s">
        <v>177</v>
      </c>
      <c r="B77" s="326">
        <v>3260</v>
      </c>
      <c r="C77" s="326">
        <v>2487</v>
      </c>
      <c r="D77" s="341">
        <v>3043</v>
      </c>
      <c r="E77" s="341">
        <v>3972</v>
      </c>
      <c r="F77" s="326">
        <v>3714</v>
      </c>
      <c r="G77" s="326">
        <v>3680</v>
      </c>
      <c r="H77" s="326">
        <v>4056</v>
      </c>
      <c r="I77" s="326">
        <v>3703</v>
      </c>
      <c r="J77" s="326">
        <v>2231</v>
      </c>
      <c r="K77" s="300">
        <v>3080</v>
      </c>
      <c r="L77" s="326">
        <v>2811</v>
      </c>
      <c r="M77" s="326">
        <v>7646</v>
      </c>
      <c r="N77" s="326">
        <f>SUM(B77:M77)</f>
        <v>43683</v>
      </c>
      <c r="O77" s="326"/>
      <c r="P77" s="326"/>
      <c r="Q77" s="326"/>
      <c r="R77" s="326"/>
      <c r="S77" s="318">
        <v>22</v>
      </c>
    </row>
    <row r="78" spans="1:19">
      <c r="A78" s="308"/>
      <c r="B78" s="326"/>
      <c r="C78" s="326"/>
      <c r="D78" s="326"/>
      <c r="E78" s="326"/>
      <c r="F78" s="326"/>
      <c r="G78" s="326"/>
      <c r="H78" s="326"/>
      <c r="I78" s="326"/>
      <c r="J78" s="326"/>
      <c r="K78" s="300"/>
      <c r="L78" s="447"/>
      <c r="M78" s="327"/>
      <c r="N78" s="326"/>
      <c r="O78" s="326"/>
      <c r="P78" s="326"/>
      <c r="Q78" s="326"/>
      <c r="R78" s="326"/>
    </row>
    <row r="79" spans="1:19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00"/>
      <c r="L79" s="343"/>
      <c r="M79" s="343"/>
      <c r="N79" s="343"/>
      <c r="O79" s="343"/>
      <c r="P79" s="343"/>
      <c r="Q79" s="343"/>
      <c r="R79" s="343"/>
    </row>
    <row r="80" spans="1:19">
      <c r="A80" s="340" t="s">
        <v>178</v>
      </c>
      <c r="B80" s="313">
        <f>+B81+B82</f>
        <v>77548</v>
      </c>
      <c r="C80" s="313">
        <f t="shared" ref="C80:M80" si="46">+C81+C82</f>
        <v>60720</v>
      </c>
      <c r="D80" s="313">
        <f t="shared" si="46"/>
        <v>66492</v>
      </c>
      <c r="E80" s="313">
        <f t="shared" ref="E80" si="47">+E81+E82</f>
        <v>64429</v>
      </c>
      <c r="F80" s="313">
        <f t="shared" si="46"/>
        <v>73163</v>
      </c>
      <c r="G80" s="313">
        <f t="shared" si="46"/>
        <v>57569</v>
      </c>
      <c r="H80" s="313">
        <f t="shared" si="46"/>
        <v>74940</v>
      </c>
      <c r="I80" s="313">
        <f t="shared" si="46"/>
        <v>66332</v>
      </c>
      <c r="J80" s="313">
        <f t="shared" si="46"/>
        <v>55463</v>
      </c>
      <c r="K80" s="313">
        <f t="shared" si="46"/>
        <v>56032</v>
      </c>
      <c r="L80" s="313">
        <f t="shared" si="46"/>
        <v>44722</v>
      </c>
      <c r="M80" s="313">
        <f t="shared" si="46"/>
        <v>85104</v>
      </c>
      <c r="N80" s="313">
        <f>SUM(B80:M80)</f>
        <v>782514</v>
      </c>
      <c r="O80" s="313"/>
      <c r="P80" s="313"/>
      <c r="Q80" s="313"/>
      <c r="R80" s="313"/>
    </row>
    <row r="81" spans="1:19">
      <c r="A81" s="306" t="s">
        <v>179</v>
      </c>
      <c r="B81" s="326">
        <v>62559</v>
      </c>
      <c r="C81" s="326">
        <v>52984</v>
      </c>
      <c r="D81" s="326">
        <v>56959</v>
      </c>
      <c r="E81" s="326">
        <v>56501</v>
      </c>
      <c r="F81" s="326">
        <v>63706</v>
      </c>
      <c r="G81" s="326">
        <v>49674</v>
      </c>
      <c r="H81" s="326">
        <v>65136</v>
      </c>
      <c r="I81" s="326">
        <v>56927</v>
      </c>
      <c r="J81" s="326">
        <v>46663</v>
      </c>
      <c r="K81" s="300">
        <v>48118</v>
      </c>
      <c r="L81" s="326">
        <v>36386</v>
      </c>
      <c r="M81" s="326">
        <v>76877</v>
      </c>
      <c r="N81" s="326">
        <f>SUM(B81:M81)</f>
        <v>672490</v>
      </c>
      <c r="O81" s="326"/>
      <c r="P81" s="326"/>
      <c r="Q81" s="326"/>
      <c r="R81" s="326"/>
      <c r="S81" s="318">
        <v>3</v>
      </c>
    </row>
    <row r="82" spans="1:19">
      <c r="A82" s="306" t="s">
        <v>180</v>
      </c>
      <c r="B82" s="326">
        <v>14989</v>
      </c>
      <c r="C82" s="326">
        <v>7736</v>
      </c>
      <c r="D82" s="326">
        <v>9533</v>
      </c>
      <c r="E82" s="326">
        <v>7928</v>
      </c>
      <c r="F82" s="326">
        <v>9457</v>
      </c>
      <c r="G82" s="326">
        <v>7895</v>
      </c>
      <c r="H82" s="326">
        <v>9804</v>
      </c>
      <c r="I82" s="326">
        <v>9405</v>
      </c>
      <c r="J82" s="326">
        <v>8800</v>
      </c>
      <c r="K82" s="300">
        <v>7914</v>
      </c>
      <c r="L82" s="326">
        <v>8336</v>
      </c>
      <c r="M82" s="326">
        <v>8227</v>
      </c>
      <c r="N82" s="326">
        <f>SUM(B82:M82)</f>
        <v>110024</v>
      </c>
      <c r="O82" s="326"/>
      <c r="P82" s="326"/>
      <c r="Q82" s="326"/>
      <c r="R82" s="326"/>
      <c r="S82" s="318">
        <v>4</v>
      </c>
    </row>
    <row r="83" spans="1:19">
      <c r="A83" s="344"/>
      <c r="B83" s="345"/>
      <c r="C83" s="345"/>
      <c r="D83" s="345"/>
      <c r="E83" s="345"/>
      <c r="F83" s="345"/>
      <c r="G83" s="345"/>
      <c r="H83" s="345"/>
      <c r="I83" s="345"/>
      <c r="J83" s="345"/>
      <c r="K83" s="300"/>
      <c r="L83" s="345"/>
      <c r="M83" s="345"/>
      <c r="N83" s="345"/>
      <c r="O83" s="345"/>
      <c r="P83" s="345"/>
      <c r="Q83" s="345"/>
      <c r="R83" s="345"/>
    </row>
    <row r="84" spans="1:19">
      <c r="A84" s="346" t="s">
        <v>181</v>
      </c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</row>
    <row r="85" spans="1:19">
      <c r="A85" s="347" t="s">
        <v>182</v>
      </c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</row>
    <row r="86" spans="1:19">
      <c r="A86" s="348" t="s">
        <v>183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</row>
    <row r="87" spans="1:19">
      <c r="A87" s="348" t="s">
        <v>184</v>
      </c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</row>
    <row r="88" spans="1:19">
      <c r="A88" s="350" t="s">
        <v>185</v>
      </c>
      <c r="B88" s="326"/>
      <c r="C88" s="326"/>
      <c r="D88" s="326"/>
      <c r="E88" s="326"/>
      <c r="F88" s="326"/>
      <c r="G88" s="326"/>
      <c r="H88" s="327"/>
      <c r="I88" s="326"/>
      <c r="J88" s="326"/>
      <c r="K88" s="300"/>
      <c r="L88" s="326"/>
      <c r="M88" s="326"/>
      <c r="N88" s="326"/>
      <c r="O88" s="326"/>
      <c r="P88" s="326"/>
      <c r="Q88" s="326"/>
      <c r="R88" s="326"/>
    </row>
    <row r="89" spans="1:19">
      <c r="A89" s="350" t="s">
        <v>186</v>
      </c>
      <c r="B89" s="326"/>
      <c r="C89" s="326"/>
      <c r="D89" s="326"/>
      <c r="E89" s="326"/>
      <c r="F89" s="326"/>
      <c r="G89" s="326"/>
      <c r="H89" s="326"/>
      <c r="I89" s="326"/>
      <c r="J89" s="326"/>
      <c r="K89" s="300"/>
      <c r="L89" s="326"/>
      <c r="M89" s="326"/>
      <c r="N89" s="326"/>
      <c r="O89" s="326"/>
      <c r="P89" s="326"/>
      <c r="Q89" s="326"/>
      <c r="R89" s="326"/>
    </row>
    <row r="90" spans="1:19">
      <c r="A90" s="351" t="s">
        <v>187</v>
      </c>
      <c r="B90" s="326">
        <f>+B87-B88-B89</f>
        <v>0</v>
      </c>
      <c r="C90" s="326">
        <f>+C87-C88-C89</f>
        <v>0</v>
      </c>
      <c r="D90" s="326">
        <f t="shared" ref="D90:M90" si="48">+D87-D88-D89</f>
        <v>0</v>
      </c>
      <c r="E90" s="326">
        <f t="shared" ref="E90" si="49">+E87-E88-E89</f>
        <v>0</v>
      </c>
      <c r="F90" s="326">
        <f t="shared" si="48"/>
        <v>0</v>
      </c>
      <c r="G90" s="326">
        <f t="shared" si="48"/>
        <v>0</v>
      </c>
      <c r="H90" s="326">
        <f t="shared" si="48"/>
        <v>0</v>
      </c>
      <c r="I90" s="326">
        <f t="shared" si="48"/>
        <v>0</v>
      </c>
      <c r="J90" s="326">
        <f t="shared" si="48"/>
        <v>0</v>
      </c>
      <c r="K90" s="326">
        <f t="shared" si="48"/>
        <v>0</v>
      </c>
      <c r="L90" s="326">
        <f t="shared" si="48"/>
        <v>0</v>
      </c>
      <c r="M90" s="326">
        <f t="shared" si="48"/>
        <v>0</v>
      </c>
      <c r="N90" s="326"/>
      <c r="O90" s="326"/>
      <c r="P90" s="326"/>
      <c r="Q90" s="326"/>
      <c r="R90" s="326"/>
    </row>
    <row r="91" spans="1:19">
      <c r="A91" s="351"/>
      <c r="B91" s="326"/>
      <c r="C91" s="326"/>
      <c r="D91" s="326"/>
      <c r="E91" s="326"/>
      <c r="F91" s="326"/>
      <c r="G91" s="326"/>
      <c r="H91" s="326"/>
      <c r="I91" s="326"/>
      <c r="J91" s="326"/>
      <c r="K91" s="300"/>
      <c r="L91" s="326"/>
      <c r="M91" s="326"/>
      <c r="N91" s="326"/>
      <c r="O91" s="326"/>
      <c r="P91" s="326"/>
      <c r="Q91" s="326"/>
      <c r="R91" s="326"/>
    </row>
    <row r="92" spans="1:19">
      <c r="A92" s="346" t="s">
        <v>96</v>
      </c>
      <c r="B92" s="352"/>
      <c r="C92" s="352"/>
      <c r="D92" s="352"/>
      <c r="E92" s="352"/>
      <c r="F92" s="352"/>
      <c r="G92" s="352"/>
      <c r="H92" s="352"/>
      <c r="I92" s="352"/>
      <c r="J92" s="352"/>
      <c r="K92" s="300"/>
      <c r="L92" s="352"/>
      <c r="M92" s="352"/>
      <c r="N92" s="352"/>
      <c r="O92" s="352"/>
      <c r="P92" s="352"/>
      <c r="Q92" s="352"/>
      <c r="R92" s="352"/>
    </row>
    <row r="93" spans="1:19">
      <c r="A93" s="340" t="s">
        <v>188</v>
      </c>
      <c r="B93" s="313">
        <f>SUM(B94:B98)</f>
        <v>1818527.24</v>
      </c>
      <c r="C93" s="313">
        <f t="shared" ref="C93:M93" si="50">SUM(C94:C98)</f>
        <v>1410130.32</v>
      </c>
      <c r="D93" s="313">
        <f t="shared" si="50"/>
        <v>1509198.5399999998</v>
      </c>
      <c r="E93" s="313">
        <f t="shared" ref="E93" si="51">SUM(E94:E98)</f>
        <v>1623942.3699999996</v>
      </c>
      <c r="F93" s="313">
        <f t="shared" si="50"/>
        <v>1685554.3599999999</v>
      </c>
      <c r="G93" s="313">
        <f t="shared" si="50"/>
        <v>1723816</v>
      </c>
      <c r="H93" s="313">
        <f>SUM(H94:H98)</f>
        <v>1855009.79</v>
      </c>
      <c r="I93" s="313">
        <f>SUM(I94:I98)</f>
        <v>1824246.39</v>
      </c>
      <c r="J93" s="313">
        <f t="shared" si="50"/>
        <v>1928060.02</v>
      </c>
      <c r="K93" s="313">
        <f t="shared" si="50"/>
        <v>9110118.6199999992</v>
      </c>
      <c r="L93" s="313">
        <f t="shared" si="50"/>
        <v>1515900.8300000003</v>
      </c>
      <c r="M93" s="313">
        <f t="shared" si="50"/>
        <v>2142478.12</v>
      </c>
      <c r="N93" s="313"/>
      <c r="O93" s="313"/>
      <c r="P93" s="313"/>
      <c r="Q93" s="313"/>
      <c r="R93" s="313"/>
    </row>
    <row r="94" spans="1:19">
      <c r="A94" s="306" t="s">
        <v>173</v>
      </c>
      <c r="B94" s="326">
        <v>1523971.31</v>
      </c>
      <c r="C94" s="326">
        <v>1172871.71</v>
      </c>
      <c r="D94" s="326">
        <v>1210393.19</v>
      </c>
      <c r="E94" s="326">
        <v>1282027.1599999999</v>
      </c>
      <c r="F94" s="326">
        <v>1377578.95</v>
      </c>
      <c r="G94" s="326">
        <v>1408090</v>
      </c>
      <c r="H94" s="326">
        <v>1481581.56</v>
      </c>
      <c r="I94" s="326">
        <v>1437140.38</v>
      </c>
      <c r="J94" s="326">
        <v>1449079.04</v>
      </c>
      <c r="K94" s="326">
        <v>1222385.8</v>
      </c>
      <c r="L94" s="326">
        <v>1216945.29</v>
      </c>
      <c r="M94" s="326">
        <v>1564155.09</v>
      </c>
      <c r="N94" s="326">
        <f>SUM(B94:M94)</f>
        <v>16346219.48</v>
      </c>
      <c r="O94" s="326"/>
      <c r="P94" s="326"/>
      <c r="Q94" s="326"/>
      <c r="R94" s="326"/>
      <c r="S94" s="318">
        <v>5</v>
      </c>
    </row>
    <row r="95" spans="1:19">
      <c r="A95" s="306" t="s">
        <v>174</v>
      </c>
      <c r="B95" s="326">
        <v>102390.09</v>
      </c>
      <c r="C95" s="326">
        <v>86197.54</v>
      </c>
      <c r="D95" s="326">
        <v>105332.9</v>
      </c>
      <c r="E95" s="326">
        <v>118700.69</v>
      </c>
      <c r="F95" s="326">
        <v>110629.43</v>
      </c>
      <c r="G95" s="326">
        <v>126767</v>
      </c>
      <c r="H95" s="326">
        <v>145045.62</v>
      </c>
      <c r="I95" s="326">
        <v>122809.97</v>
      </c>
      <c r="J95" s="326">
        <v>243330.06</v>
      </c>
      <c r="K95" s="326">
        <v>100458.93</v>
      </c>
      <c r="L95" s="326">
        <v>105240.86</v>
      </c>
      <c r="M95" s="326">
        <v>129305.43</v>
      </c>
      <c r="N95" s="326">
        <f t="shared" ref="N95:N98" si="52">SUM(B95:M95)</f>
        <v>1496208.52</v>
      </c>
      <c r="O95" s="326"/>
      <c r="P95" s="326"/>
      <c r="Q95" s="326"/>
      <c r="R95" s="326"/>
      <c r="S95" s="318">
        <v>5</v>
      </c>
    </row>
    <row r="96" spans="1:19">
      <c r="A96" s="306" t="s">
        <v>175</v>
      </c>
      <c r="B96" s="326">
        <v>116245.5</v>
      </c>
      <c r="C96" s="326">
        <v>101701.19</v>
      </c>
      <c r="D96" s="326">
        <v>122181.65</v>
      </c>
      <c r="E96" s="326">
        <v>129297.37</v>
      </c>
      <c r="F96" s="326">
        <v>107505.79</v>
      </c>
      <c r="G96" s="326">
        <v>105146</v>
      </c>
      <c r="H96" s="326">
        <v>132811.38</v>
      </c>
      <c r="I96" s="326">
        <v>178910.46</v>
      </c>
      <c r="J96" s="326">
        <v>142242.87</v>
      </c>
      <c r="K96" s="326">
        <v>171166.19</v>
      </c>
      <c r="L96" s="326">
        <v>131174.51</v>
      </c>
      <c r="M96" s="326">
        <v>285335.37</v>
      </c>
      <c r="N96" s="326">
        <f t="shared" si="52"/>
        <v>1723718.2799999998</v>
      </c>
      <c r="O96" s="326"/>
      <c r="P96" s="326"/>
      <c r="Q96" s="326"/>
      <c r="R96" s="326"/>
      <c r="S96" s="318">
        <v>5</v>
      </c>
    </row>
    <row r="97" spans="1:19">
      <c r="A97" s="306" t="s">
        <v>176</v>
      </c>
      <c r="B97" s="326">
        <v>18242.2</v>
      </c>
      <c r="C97" s="326">
        <v>7011.27</v>
      </c>
      <c r="D97" s="326">
        <v>19041.060000000001</v>
      </c>
      <c r="E97" s="326">
        <v>23313.24</v>
      </c>
      <c r="F97" s="326">
        <v>25524.91</v>
      </c>
      <c r="G97" s="326">
        <v>20949</v>
      </c>
      <c r="H97" s="326">
        <v>24252.05</v>
      </c>
      <c r="I97" s="326">
        <v>20044.47</v>
      </c>
      <c r="J97" s="326">
        <v>54276.38</v>
      </c>
      <c r="K97" s="326">
        <v>7559523.4400000004</v>
      </c>
      <c r="L97" s="326">
        <v>11738.1</v>
      </c>
      <c r="M97" s="326">
        <v>16489.060000000001</v>
      </c>
      <c r="N97" s="326">
        <f t="shared" si="52"/>
        <v>7800405.1799999997</v>
      </c>
      <c r="O97" s="326"/>
      <c r="P97" s="326"/>
      <c r="Q97" s="326"/>
      <c r="R97" s="326"/>
      <c r="S97" s="318">
        <v>6</v>
      </c>
    </row>
    <row r="98" spans="1:19">
      <c r="A98" s="306" t="s">
        <v>177</v>
      </c>
      <c r="B98" s="326">
        <v>57678.14</v>
      </c>
      <c r="C98" s="326">
        <v>42348.61</v>
      </c>
      <c r="D98" s="326">
        <v>52249.74</v>
      </c>
      <c r="E98" s="326">
        <v>70603.91</v>
      </c>
      <c r="F98" s="326">
        <v>64315.28</v>
      </c>
      <c r="G98" s="326">
        <v>62864</v>
      </c>
      <c r="H98" s="326">
        <v>71319.179999999993</v>
      </c>
      <c r="I98" s="326">
        <v>65341.11</v>
      </c>
      <c r="J98" s="326">
        <v>39131.67</v>
      </c>
      <c r="K98" s="326">
        <v>56584.26</v>
      </c>
      <c r="L98" s="326">
        <v>50802.07</v>
      </c>
      <c r="M98" s="326">
        <v>147193.17000000001</v>
      </c>
      <c r="N98" s="326">
        <f t="shared" si="52"/>
        <v>780431.14</v>
      </c>
      <c r="O98" s="326"/>
      <c r="P98" s="326"/>
      <c r="Q98" s="326"/>
      <c r="R98" s="326"/>
      <c r="S98" s="318">
        <v>6</v>
      </c>
    </row>
    <row r="99" spans="1:19">
      <c r="A99" s="353"/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</row>
    <row r="100" spans="1:19">
      <c r="A100" s="310" t="s">
        <v>189</v>
      </c>
      <c r="B100" s="313">
        <f>+B101+B102+B103+B104+B105</f>
        <v>1277856</v>
      </c>
      <c r="C100" s="313">
        <f>+C101+C102+C103+C104+C105</f>
        <v>1225234</v>
      </c>
      <c r="D100" s="313">
        <f t="shared" ref="D100:M100" si="53">+D101+D102+D103+D104+D105</f>
        <v>1247000</v>
      </c>
      <c r="E100" s="313">
        <f t="shared" ref="E100" si="54">+E101+E102+E103+E104+E105</f>
        <v>1070988</v>
      </c>
      <c r="F100" s="313">
        <f t="shared" si="53"/>
        <v>1175704</v>
      </c>
      <c r="G100" s="313">
        <f t="shared" si="53"/>
        <v>924494</v>
      </c>
      <c r="H100" s="313">
        <f t="shared" si="53"/>
        <v>1467277.06</v>
      </c>
      <c r="I100" s="313">
        <f t="shared" si="53"/>
        <v>1051077.4500000002</v>
      </c>
      <c r="J100" s="313">
        <f t="shared" si="53"/>
        <v>1116883.56</v>
      </c>
      <c r="K100" s="313">
        <f t="shared" si="53"/>
        <v>1104707.6600000001</v>
      </c>
      <c r="L100" s="313">
        <f t="shared" si="53"/>
        <v>1005896</v>
      </c>
      <c r="M100" s="313">
        <f t="shared" si="53"/>
        <v>1485938.7</v>
      </c>
      <c r="N100" s="313"/>
      <c r="O100" s="313"/>
      <c r="P100" s="313"/>
      <c r="Q100" s="313"/>
      <c r="R100" s="313"/>
    </row>
    <row r="101" spans="1:19" ht="26.25" customHeight="1">
      <c r="A101" s="306" t="s">
        <v>173</v>
      </c>
      <c r="B101" s="326">
        <v>1011670</v>
      </c>
      <c r="C101" s="326">
        <v>897650</v>
      </c>
      <c r="D101" s="326">
        <v>993036</v>
      </c>
      <c r="E101" s="326">
        <v>857812</v>
      </c>
      <c r="F101" s="326">
        <v>841879</v>
      </c>
      <c r="G101" s="326">
        <v>750074.7</v>
      </c>
      <c r="H101" s="326">
        <v>1152146.2</v>
      </c>
      <c r="I101" s="327">
        <v>759881.93</v>
      </c>
      <c r="J101" s="326">
        <v>857256.31</v>
      </c>
      <c r="K101" s="326">
        <v>844445.66</v>
      </c>
      <c r="L101" s="326">
        <v>742934</v>
      </c>
      <c r="M101" s="326">
        <v>952964</v>
      </c>
      <c r="N101" s="326">
        <f>SUM(B101:M101)</f>
        <v>10661749.800000001</v>
      </c>
      <c r="O101" s="326"/>
      <c r="P101" s="326"/>
      <c r="Q101" s="326"/>
      <c r="R101" s="326"/>
    </row>
    <row r="102" spans="1:19">
      <c r="A102" s="306" t="s">
        <v>174</v>
      </c>
      <c r="B102" s="326">
        <v>127047</v>
      </c>
      <c r="C102" s="326">
        <v>81876</v>
      </c>
      <c r="D102" s="326">
        <v>91752</v>
      </c>
      <c r="E102" s="326">
        <v>135477</v>
      </c>
      <c r="F102" s="326">
        <v>102019</v>
      </c>
      <c r="G102" s="326">
        <v>61032.66</v>
      </c>
      <c r="H102" s="326">
        <v>151734.60999999999</v>
      </c>
      <c r="I102" s="327">
        <v>51678.8</v>
      </c>
      <c r="J102" s="326">
        <v>75164.25</v>
      </c>
      <c r="K102" s="326">
        <v>85600</v>
      </c>
      <c r="L102" s="326">
        <v>103285</v>
      </c>
      <c r="M102" s="326">
        <v>88236.85</v>
      </c>
      <c r="N102" s="326">
        <f t="shared" ref="N102:N105" si="55">SUM(B102:M102)</f>
        <v>1154903.1700000002</v>
      </c>
      <c r="O102" s="326"/>
      <c r="P102" s="326"/>
      <c r="Q102" s="326"/>
      <c r="R102" s="326"/>
    </row>
    <row r="103" spans="1:19">
      <c r="A103" s="306" t="s">
        <v>175</v>
      </c>
      <c r="B103" s="326">
        <v>134672</v>
      </c>
      <c r="C103" s="326">
        <v>131565</v>
      </c>
      <c r="D103" s="326">
        <v>161649</v>
      </c>
      <c r="E103" s="326">
        <v>23248</v>
      </c>
      <c r="F103" s="326">
        <v>99230</v>
      </c>
      <c r="G103" s="326">
        <v>113062</v>
      </c>
      <c r="H103" s="326">
        <v>102817.28</v>
      </c>
      <c r="I103" s="327">
        <v>158099.67000000001</v>
      </c>
      <c r="J103" s="326">
        <v>127601</v>
      </c>
      <c r="K103" s="300">
        <v>143886</v>
      </c>
      <c r="L103" s="326">
        <v>101959</v>
      </c>
      <c r="M103" s="326">
        <v>317487.84999999998</v>
      </c>
      <c r="N103" s="326">
        <f t="shared" si="55"/>
        <v>1615276.8000000003</v>
      </c>
      <c r="O103" s="326"/>
      <c r="P103" s="326"/>
      <c r="Q103" s="326"/>
      <c r="R103" s="326"/>
    </row>
    <row r="104" spans="1:19">
      <c r="A104" s="306" t="s">
        <v>176</v>
      </c>
      <c r="B104" s="326">
        <v>1300</v>
      </c>
      <c r="C104" s="326">
        <v>0</v>
      </c>
      <c r="D104" s="326">
        <v>0</v>
      </c>
      <c r="E104" s="326">
        <v>0</v>
      </c>
      <c r="F104" s="326">
        <v>0</v>
      </c>
      <c r="G104" s="326">
        <v>0</v>
      </c>
      <c r="H104" s="326">
        <v>0</v>
      </c>
      <c r="I104" s="327">
        <v>0</v>
      </c>
      <c r="J104" s="326">
        <v>0</v>
      </c>
      <c r="K104" s="300">
        <v>0</v>
      </c>
      <c r="L104" s="453"/>
      <c r="M104" s="326"/>
      <c r="N104" s="326">
        <f t="shared" si="55"/>
        <v>1300</v>
      </c>
      <c r="O104" s="326"/>
      <c r="P104" s="326"/>
      <c r="Q104" s="326"/>
      <c r="R104" s="326"/>
      <c r="S104" s="318">
        <v>7</v>
      </c>
    </row>
    <row r="105" spans="1:19">
      <c r="A105" s="306" t="s">
        <v>177</v>
      </c>
      <c r="B105" s="326">
        <v>3167</v>
      </c>
      <c r="C105" s="326">
        <v>114143</v>
      </c>
      <c r="D105" s="326">
        <v>563</v>
      </c>
      <c r="E105" s="326">
        <v>54451</v>
      </c>
      <c r="F105" s="326">
        <v>132576</v>
      </c>
      <c r="G105" s="326">
        <v>324.64</v>
      </c>
      <c r="H105" s="326">
        <v>60578.97</v>
      </c>
      <c r="I105" s="327">
        <v>81417.05</v>
      </c>
      <c r="J105" s="326">
        <v>56862</v>
      </c>
      <c r="K105" s="300">
        <v>30776</v>
      </c>
      <c r="L105" s="326">
        <v>57718</v>
      </c>
      <c r="M105" s="326">
        <v>127250</v>
      </c>
      <c r="N105" s="326">
        <f t="shared" si="55"/>
        <v>719826.65999999992</v>
      </c>
      <c r="O105" s="326"/>
      <c r="P105" s="326"/>
      <c r="Q105" s="326"/>
      <c r="R105" s="326"/>
      <c r="S105" s="318">
        <v>7</v>
      </c>
    </row>
    <row r="106" spans="1:19">
      <c r="A106" s="355"/>
      <c r="B106" s="327"/>
      <c r="C106" s="327"/>
      <c r="D106" s="327"/>
      <c r="E106" s="327"/>
      <c r="F106" s="327"/>
      <c r="G106" s="327"/>
      <c r="H106" s="327"/>
      <c r="I106" s="327"/>
      <c r="J106" s="327"/>
      <c r="K106" s="300"/>
      <c r="L106" s="327"/>
      <c r="M106" s="327"/>
      <c r="N106" s="327"/>
      <c r="O106" s="327"/>
      <c r="P106" s="327"/>
      <c r="Q106" s="327"/>
      <c r="R106" s="327"/>
    </row>
    <row r="107" spans="1:19">
      <c r="A107" s="306" t="s">
        <v>281</v>
      </c>
      <c r="B107" s="326">
        <v>0</v>
      </c>
      <c r="C107" s="326"/>
      <c r="D107" s="326">
        <v>58</v>
      </c>
      <c r="E107" s="326">
        <v>0</v>
      </c>
      <c r="F107" s="326">
        <v>0</v>
      </c>
      <c r="G107" s="440">
        <v>18</v>
      </c>
      <c r="H107" s="440">
        <v>21</v>
      </c>
      <c r="I107" s="440">
        <v>32</v>
      </c>
      <c r="J107" s="440">
        <v>52</v>
      </c>
      <c r="K107" s="441">
        <v>20</v>
      </c>
      <c r="L107" s="418">
        <v>0</v>
      </c>
      <c r="M107" s="418">
        <v>0</v>
      </c>
      <c r="N107" s="326"/>
      <c r="O107" s="326" t="s">
        <v>332</v>
      </c>
      <c r="P107" s="326"/>
      <c r="Q107" s="326"/>
      <c r="R107" s="326"/>
      <c r="S107" s="318">
        <v>10</v>
      </c>
    </row>
    <row r="108" spans="1:19">
      <c r="A108" s="306" t="s">
        <v>190</v>
      </c>
      <c r="B108" s="326">
        <v>0</v>
      </c>
      <c r="C108" s="326"/>
      <c r="D108" s="326">
        <v>40</v>
      </c>
      <c r="E108" s="326">
        <v>0</v>
      </c>
      <c r="F108" s="326">
        <v>3</v>
      </c>
      <c r="G108" s="440">
        <v>5</v>
      </c>
      <c r="H108" s="440">
        <v>8</v>
      </c>
      <c r="I108" s="440">
        <v>8</v>
      </c>
      <c r="J108" s="440">
        <v>24</v>
      </c>
      <c r="K108" s="441">
        <v>15</v>
      </c>
      <c r="L108" s="418">
        <v>0</v>
      </c>
      <c r="M108" s="418">
        <v>0</v>
      </c>
      <c r="N108" s="326"/>
      <c r="O108" s="326" t="s">
        <v>333</v>
      </c>
      <c r="P108" s="326"/>
      <c r="Q108" s="326"/>
      <c r="R108" s="326"/>
      <c r="S108" s="318">
        <v>11</v>
      </c>
    </row>
    <row r="109" spans="1:19">
      <c r="A109" s="306" t="s">
        <v>191</v>
      </c>
      <c r="B109" s="326"/>
      <c r="C109" s="326"/>
      <c r="D109" s="326">
        <v>377.13</v>
      </c>
      <c r="E109" s="326">
        <v>0</v>
      </c>
      <c r="F109" s="326">
        <v>0</v>
      </c>
      <c r="G109" s="326">
        <v>0</v>
      </c>
      <c r="H109" s="327"/>
      <c r="I109" s="327">
        <v>4101.09</v>
      </c>
      <c r="J109" s="326">
        <v>4407.24</v>
      </c>
      <c r="K109" s="300">
        <v>1033.1600000000001</v>
      </c>
      <c r="L109" s="326">
        <v>1034.45</v>
      </c>
      <c r="M109" s="327">
        <v>2477.59</v>
      </c>
      <c r="N109" s="326"/>
      <c r="O109" s="326"/>
      <c r="P109" s="326"/>
      <c r="Q109" s="326"/>
      <c r="R109" s="326"/>
      <c r="S109" s="318">
        <v>12</v>
      </c>
    </row>
    <row r="110" spans="1:19">
      <c r="A110" s="356" t="s">
        <v>192</v>
      </c>
      <c r="B110" s="357"/>
      <c r="C110" s="357"/>
      <c r="D110" s="357"/>
      <c r="E110" s="357"/>
      <c r="F110" s="357"/>
      <c r="G110" s="357"/>
      <c r="H110" s="357"/>
      <c r="I110" s="357"/>
      <c r="J110" s="357"/>
      <c r="K110" s="300"/>
      <c r="L110" s="357"/>
      <c r="M110" s="357"/>
      <c r="N110" s="357"/>
      <c r="O110" s="357"/>
      <c r="P110" s="357"/>
      <c r="Q110" s="357"/>
      <c r="R110" s="357"/>
    </row>
    <row r="111" spans="1:19">
      <c r="A111" s="408" t="s">
        <v>193</v>
      </c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</row>
    <row r="112" spans="1:19">
      <c r="A112" s="410" t="s">
        <v>194</v>
      </c>
      <c r="B112" s="358">
        <f>+B113+B119</f>
        <v>6897</v>
      </c>
      <c r="C112" s="358">
        <f t="shared" ref="C112:M112" si="56">+C113+C119</f>
        <v>6906</v>
      </c>
      <c r="D112" s="358">
        <f t="shared" si="56"/>
        <v>6920</v>
      </c>
      <c r="E112" s="358">
        <f t="shared" ref="E112" si="57">+E113+E119</f>
        <v>6928</v>
      </c>
      <c r="F112" s="358">
        <f t="shared" si="56"/>
        <v>7187</v>
      </c>
      <c r="G112" s="358">
        <f t="shared" si="56"/>
        <v>7200</v>
      </c>
      <c r="H112" s="358">
        <f t="shared" si="56"/>
        <v>7203</v>
      </c>
      <c r="I112" s="358">
        <f t="shared" si="56"/>
        <v>7210</v>
      </c>
      <c r="J112" s="358">
        <f t="shared" si="56"/>
        <v>7220</v>
      </c>
      <c r="K112" s="358">
        <f t="shared" si="56"/>
        <v>7234</v>
      </c>
      <c r="L112" s="358">
        <f t="shared" si="56"/>
        <v>7233</v>
      </c>
      <c r="M112" s="358">
        <f t="shared" si="56"/>
        <v>7239</v>
      </c>
      <c r="N112" s="358"/>
      <c r="O112" s="358"/>
      <c r="P112" s="358"/>
      <c r="Q112" s="358"/>
      <c r="R112" s="358"/>
      <c r="S112" s="318">
        <v>14</v>
      </c>
    </row>
    <row r="113" spans="1:18">
      <c r="A113" s="409" t="s">
        <v>195</v>
      </c>
      <c r="B113" s="360">
        <f>+B114+B115+B116+B117+B118</f>
        <v>6767</v>
      </c>
      <c r="C113" s="360">
        <f t="shared" ref="C113:M113" si="58">+C114+C115+C116+C117+C118</f>
        <v>6776</v>
      </c>
      <c r="D113" s="360">
        <f t="shared" si="58"/>
        <v>6790</v>
      </c>
      <c r="E113" s="360">
        <f t="shared" ref="E113" si="59">+E114+E115+E116+E117+E118</f>
        <v>6797</v>
      </c>
      <c r="F113" s="360">
        <f t="shared" si="58"/>
        <v>6808</v>
      </c>
      <c r="G113" s="360">
        <f t="shared" si="58"/>
        <v>6822</v>
      </c>
      <c r="H113" s="360">
        <f t="shared" si="58"/>
        <v>6826</v>
      </c>
      <c r="I113" s="360">
        <f t="shared" si="58"/>
        <v>6832</v>
      </c>
      <c r="J113" s="360">
        <f t="shared" si="58"/>
        <v>6842</v>
      </c>
      <c r="K113" s="360">
        <f t="shared" si="58"/>
        <v>6856</v>
      </c>
      <c r="L113" s="360">
        <f t="shared" si="58"/>
        <v>6855</v>
      </c>
      <c r="M113" s="360">
        <f t="shared" si="58"/>
        <v>6863</v>
      </c>
      <c r="N113" s="360"/>
      <c r="O113" s="360"/>
      <c r="P113" s="360"/>
      <c r="Q113" s="360"/>
      <c r="R113" s="360"/>
    </row>
    <row r="114" spans="1:18">
      <c r="A114" s="303" t="s">
        <v>196</v>
      </c>
      <c r="B114" s="335">
        <v>6333</v>
      </c>
      <c r="C114" s="335">
        <v>6338</v>
      </c>
      <c r="D114" s="335">
        <v>6346</v>
      </c>
      <c r="E114" s="335">
        <v>6350</v>
      </c>
      <c r="F114" s="335">
        <v>6360</v>
      </c>
      <c r="G114" s="335">
        <v>6373</v>
      </c>
      <c r="H114" s="335">
        <v>6372</v>
      </c>
      <c r="I114" s="335">
        <v>6377</v>
      </c>
      <c r="J114" s="335">
        <v>6385</v>
      </c>
      <c r="K114" s="335">
        <v>6398</v>
      </c>
      <c r="L114" s="335">
        <v>6399</v>
      </c>
      <c r="M114" s="335">
        <v>6407</v>
      </c>
      <c r="N114" s="335"/>
      <c r="O114" s="335"/>
      <c r="P114" s="335"/>
      <c r="Q114" s="335"/>
      <c r="R114" s="335"/>
    </row>
    <row r="115" spans="1:18">
      <c r="A115" s="303" t="s">
        <v>197</v>
      </c>
      <c r="B115" s="335">
        <v>314</v>
      </c>
      <c r="C115" s="335">
        <v>318</v>
      </c>
      <c r="D115" s="335">
        <v>324</v>
      </c>
      <c r="E115" s="335">
        <v>327</v>
      </c>
      <c r="F115" s="335">
        <v>327</v>
      </c>
      <c r="G115" s="335">
        <v>328</v>
      </c>
      <c r="H115" s="335">
        <v>333</v>
      </c>
      <c r="I115" s="335">
        <v>334</v>
      </c>
      <c r="J115" s="335">
        <v>336</v>
      </c>
      <c r="K115" s="335">
        <v>337</v>
      </c>
      <c r="L115" s="335">
        <v>335</v>
      </c>
      <c r="M115" s="335">
        <v>335</v>
      </c>
      <c r="N115" s="335"/>
      <c r="O115" s="335"/>
      <c r="P115" s="335"/>
      <c r="Q115" s="335"/>
      <c r="R115" s="335"/>
    </row>
    <row r="116" spans="1:18">
      <c r="A116" s="303" t="s">
        <v>198</v>
      </c>
      <c r="B116" s="335">
        <v>9</v>
      </c>
      <c r="C116" s="335">
        <v>9</v>
      </c>
      <c r="D116" s="335">
        <v>9</v>
      </c>
      <c r="E116" s="335">
        <v>9</v>
      </c>
      <c r="F116" s="335">
        <v>9</v>
      </c>
      <c r="G116" s="335">
        <v>9</v>
      </c>
      <c r="H116" s="335">
        <v>9</v>
      </c>
      <c r="I116" s="335">
        <v>9</v>
      </c>
      <c r="J116" s="335">
        <v>9</v>
      </c>
      <c r="K116" s="335">
        <v>9</v>
      </c>
      <c r="L116" s="335">
        <v>9</v>
      </c>
      <c r="M116" s="335">
        <v>9</v>
      </c>
      <c r="N116" s="335"/>
      <c r="O116" s="335"/>
      <c r="P116" s="335"/>
      <c r="Q116" s="335"/>
      <c r="R116" s="335"/>
    </row>
    <row r="117" spans="1:18">
      <c r="A117" s="303" t="s">
        <v>199</v>
      </c>
      <c r="B117" s="335">
        <v>36</v>
      </c>
      <c r="C117" s="335">
        <v>36</v>
      </c>
      <c r="D117" s="335">
        <v>36</v>
      </c>
      <c r="E117" s="335">
        <v>36</v>
      </c>
      <c r="F117" s="335">
        <v>36</v>
      </c>
      <c r="G117" s="335">
        <v>36</v>
      </c>
      <c r="H117" s="335">
        <v>36</v>
      </c>
      <c r="I117" s="335">
        <v>36</v>
      </c>
      <c r="J117" s="335">
        <v>36</v>
      </c>
      <c r="K117" s="335">
        <v>36</v>
      </c>
      <c r="L117" s="335">
        <v>36</v>
      </c>
      <c r="M117" s="335">
        <v>36</v>
      </c>
      <c r="N117" s="335"/>
      <c r="O117" s="335"/>
      <c r="P117" s="335"/>
      <c r="Q117" s="335"/>
      <c r="R117" s="335"/>
    </row>
    <row r="118" spans="1:18">
      <c r="A118" s="303" t="s">
        <v>200</v>
      </c>
      <c r="B118" s="335">
        <v>75</v>
      </c>
      <c r="C118" s="335">
        <v>75</v>
      </c>
      <c r="D118" s="335">
        <v>75</v>
      </c>
      <c r="E118" s="335">
        <v>75</v>
      </c>
      <c r="F118" s="335">
        <v>76</v>
      </c>
      <c r="G118" s="335">
        <v>76</v>
      </c>
      <c r="H118" s="335">
        <v>76</v>
      </c>
      <c r="I118" s="335">
        <v>76</v>
      </c>
      <c r="J118" s="335">
        <v>76</v>
      </c>
      <c r="K118" s="335">
        <v>76</v>
      </c>
      <c r="L118" s="335">
        <v>76</v>
      </c>
      <c r="M118" s="335">
        <v>76</v>
      </c>
      <c r="N118" s="335"/>
      <c r="O118" s="335"/>
      <c r="P118" s="335"/>
      <c r="Q118" s="335"/>
      <c r="R118" s="335"/>
    </row>
    <row r="119" spans="1:18">
      <c r="A119" s="409" t="s">
        <v>201</v>
      </c>
      <c r="B119" s="360">
        <f>+B120+B121+B122+B123+B124</f>
        <v>130</v>
      </c>
      <c r="C119" s="360">
        <f t="shared" ref="C119:M119" si="60">+C120+C121+C122+C123+C124</f>
        <v>130</v>
      </c>
      <c r="D119" s="360">
        <f t="shared" si="60"/>
        <v>130</v>
      </c>
      <c r="E119" s="360">
        <f t="shared" ref="E119" si="61">+E120+E121+E122+E123+E124</f>
        <v>131</v>
      </c>
      <c r="F119" s="360">
        <f t="shared" si="60"/>
        <v>379</v>
      </c>
      <c r="G119" s="360">
        <f t="shared" si="60"/>
        <v>378</v>
      </c>
      <c r="H119" s="360">
        <f t="shared" si="60"/>
        <v>377</v>
      </c>
      <c r="I119" s="360">
        <f t="shared" si="60"/>
        <v>378</v>
      </c>
      <c r="J119" s="360">
        <f t="shared" si="60"/>
        <v>378</v>
      </c>
      <c r="K119" s="360">
        <f t="shared" si="60"/>
        <v>378</v>
      </c>
      <c r="L119" s="360">
        <f t="shared" si="60"/>
        <v>378</v>
      </c>
      <c r="M119" s="360">
        <f t="shared" si="60"/>
        <v>376</v>
      </c>
      <c r="N119" s="360"/>
      <c r="O119" s="360"/>
      <c r="P119" s="360"/>
      <c r="Q119" s="360"/>
      <c r="R119" s="360"/>
    </row>
    <row r="120" spans="1:18">
      <c r="A120" s="303" t="s">
        <v>196</v>
      </c>
      <c r="B120" s="335">
        <v>130</v>
      </c>
      <c r="C120" s="335">
        <v>130</v>
      </c>
      <c r="D120" s="335">
        <v>130</v>
      </c>
      <c r="E120" s="335">
        <v>131</v>
      </c>
      <c r="F120" s="335">
        <v>379</v>
      </c>
      <c r="G120" s="335">
        <v>378</v>
      </c>
      <c r="H120" s="335">
        <v>377</v>
      </c>
      <c r="I120" s="335">
        <v>378</v>
      </c>
      <c r="J120" s="335">
        <v>378</v>
      </c>
      <c r="K120" s="335">
        <v>378</v>
      </c>
      <c r="L120" s="335">
        <v>378</v>
      </c>
      <c r="M120" s="335">
        <v>376</v>
      </c>
      <c r="N120" s="335"/>
      <c r="O120" s="335"/>
      <c r="P120" s="335"/>
      <c r="Q120" s="335"/>
      <c r="R120" s="335"/>
    </row>
    <row r="121" spans="1:18">
      <c r="A121" s="303" t="s">
        <v>197</v>
      </c>
      <c r="B121" s="335">
        <v>0</v>
      </c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</row>
    <row r="122" spans="1:18">
      <c r="A122" s="303" t="s">
        <v>198</v>
      </c>
      <c r="B122" s="335">
        <v>0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</row>
    <row r="123" spans="1:18">
      <c r="A123" s="303" t="s">
        <v>199</v>
      </c>
      <c r="B123" s="335">
        <v>0</v>
      </c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</row>
    <row r="124" spans="1:18">
      <c r="A124" s="303" t="s">
        <v>200</v>
      </c>
      <c r="B124" s="335">
        <v>0</v>
      </c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</row>
    <row r="125" spans="1:18" ht="23.25" customHeight="1">
      <c r="A125" s="361" t="s">
        <v>202</v>
      </c>
      <c r="B125" s="362">
        <v>143</v>
      </c>
      <c r="C125" s="362">
        <v>145</v>
      </c>
      <c r="D125" s="362">
        <v>277</v>
      </c>
      <c r="E125" s="362">
        <v>171</v>
      </c>
      <c r="F125" s="362"/>
      <c r="G125" s="362">
        <v>150</v>
      </c>
      <c r="H125" s="362">
        <v>159</v>
      </c>
      <c r="I125" s="362">
        <v>161</v>
      </c>
      <c r="J125" s="362">
        <v>161</v>
      </c>
      <c r="K125" s="362">
        <v>163</v>
      </c>
      <c r="L125" s="362">
        <v>162</v>
      </c>
      <c r="M125" s="362">
        <v>163</v>
      </c>
      <c r="N125" s="362"/>
      <c r="O125" s="335"/>
      <c r="P125" s="335"/>
      <c r="Q125" s="335"/>
      <c r="R125" s="335"/>
    </row>
    <row r="126" spans="1:18" ht="15.75" customHeight="1">
      <c r="A126" s="363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</row>
    <row r="127" spans="1:18" ht="19.5" customHeight="1">
      <c r="A127" s="340" t="s">
        <v>203</v>
      </c>
      <c r="B127" s="365">
        <v>6730</v>
      </c>
      <c r="C127" s="365">
        <v>6742</v>
      </c>
      <c r="D127" s="365">
        <v>6815</v>
      </c>
      <c r="E127" s="365">
        <v>6882</v>
      </c>
      <c r="F127" s="365">
        <v>6936</v>
      </c>
      <c r="G127" s="365">
        <v>6936</v>
      </c>
      <c r="H127" s="365">
        <v>6958</v>
      </c>
      <c r="I127" s="365">
        <v>6965</v>
      </c>
      <c r="J127" s="365">
        <v>6979</v>
      </c>
      <c r="K127" s="365">
        <v>6989</v>
      </c>
      <c r="L127" s="448"/>
      <c r="M127" s="448"/>
      <c r="N127" s="365"/>
      <c r="O127" s="365"/>
      <c r="P127" s="365"/>
      <c r="Q127" s="365"/>
      <c r="R127" s="365"/>
    </row>
    <row r="128" spans="1:18" ht="19.5" customHeight="1">
      <c r="A128" s="366" t="s">
        <v>299</v>
      </c>
      <c r="B128" s="367">
        <f>+B127/B112</f>
        <v>0.97578657387269829</v>
      </c>
      <c r="C128" s="367">
        <f t="shared" ref="C128:M128" si="62">+C127/C112</f>
        <v>0.97625253402838108</v>
      </c>
      <c r="D128" s="367">
        <f t="shared" si="62"/>
        <v>0.98482658959537572</v>
      </c>
      <c r="E128" s="367">
        <f t="shared" ref="E128" si="63">+E127/E112</f>
        <v>0.99336027713625863</v>
      </c>
      <c r="F128" s="367">
        <f t="shared" si="62"/>
        <v>0.96507583136218167</v>
      </c>
      <c r="G128" s="367">
        <f t="shared" si="62"/>
        <v>0.96333333333333337</v>
      </c>
      <c r="H128" s="367">
        <f t="shared" si="62"/>
        <v>0.96598639455782309</v>
      </c>
      <c r="I128" s="367">
        <f t="shared" si="62"/>
        <v>0.96601941747572817</v>
      </c>
      <c r="J128" s="367">
        <f t="shared" si="62"/>
        <v>0.96662049861495847</v>
      </c>
      <c r="K128" s="367">
        <f t="shared" si="62"/>
        <v>0.96613215371855132</v>
      </c>
      <c r="L128" s="367">
        <f t="shared" si="62"/>
        <v>0</v>
      </c>
      <c r="M128" s="367">
        <f t="shared" si="62"/>
        <v>0</v>
      </c>
      <c r="N128" s="365"/>
      <c r="O128" s="365"/>
      <c r="P128" s="365"/>
      <c r="Q128" s="365"/>
      <c r="R128" s="365"/>
    </row>
    <row r="129" spans="1:18" ht="19.5" customHeight="1">
      <c r="A129" s="368"/>
      <c r="B129" s="369"/>
      <c r="C129" s="369"/>
      <c r="D129" s="370"/>
      <c r="E129" s="370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</row>
    <row r="130" spans="1:18" ht="15" customHeight="1">
      <c r="A130" s="346" t="s">
        <v>204</v>
      </c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</row>
    <row r="131" spans="1:18">
      <c r="A131" s="340" t="s">
        <v>205</v>
      </c>
      <c r="B131" s="311">
        <f>+B132+B136+B137</f>
        <v>17727660.099999998</v>
      </c>
      <c r="C131" s="311">
        <f t="shared" ref="C131:M131" si="64">+C132+C136+C137</f>
        <v>16673239.699999999</v>
      </c>
      <c r="D131" s="311">
        <f t="shared" si="64"/>
        <v>17426738</v>
      </c>
      <c r="E131" s="311">
        <f t="shared" ref="E131" si="65">+E132+E136+E137</f>
        <v>18852076.299999997</v>
      </c>
      <c r="F131" s="311">
        <f t="shared" si="64"/>
        <v>18254002</v>
      </c>
      <c r="G131" s="311">
        <f t="shared" si="64"/>
        <v>19477479.369999997</v>
      </c>
      <c r="H131" s="311">
        <f t="shared" si="64"/>
        <v>20701546.319999997</v>
      </c>
      <c r="I131" s="311">
        <f t="shared" si="64"/>
        <v>20526583.250000004</v>
      </c>
      <c r="J131" s="311">
        <f t="shared" si="64"/>
        <v>21977279.910000004</v>
      </c>
      <c r="K131" s="311">
        <f t="shared" si="64"/>
        <v>22472071.439999998</v>
      </c>
      <c r="L131" s="311">
        <f t="shared" si="64"/>
        <v>21263970</v>
      </c>
      <c r="M131" s="311">
        <f t="shared" si="64"/>
        <v>22093849.580000002</v>
      </c>
      <c r="N131" s="311"/>
      <c r="O131" s="311"/>
      <c r="P131" s="311"/>
      <c r="Q131" s="311"/>
      <c r="R131" s="311"/>
    </row>
    <row r="132" spans="1:18">
      <c r="A132" s="371" t="s">
        <v>206</v>
      </c>
      <c r="B132" s="313">
        <f>+B133+B134+B135</f>
        <v>10331878.09</v>
      </c>
      <c r="C132" s="313">
        <f t="shared" ref="C132:M132" si="66">+C133+C134+C135</f>
        <v>9530780.0099999998</v>
      </c>
      <c r="D132" s="313">
        <f t="shared" si="66"/>
        <v>10230356.959999999</v>
      </c>
      <c r="E132" s="313">
        <f t="shared" ref="E132" si="67">+E133+E134+E135</f>
        <v>11408923.789999999</v>
      </c>
      <c r="F132" s="313">
        <f t="shared" si="66"/>
        <v>10841739</v>
      </c>
      <c r="G132" s="313">
        <f t="shared" si="66"/>
        <v>11992536.789999999</v>
      </c>
      <c r="H132" s="313">
        <f t="shared" si="66"/>
        <v>13166389.289999999</v>
      </c>
      <c r="I132" s="313">
        <f t="shared" si="66"/>
        <v>12992782.110000001</v>
      </c>
      <c r="J132" s="313">
        <f t="shared" si="66"/>
        <v>14372078.090000002</v>
      </c>
      <c r="K132" s="313">
        <f t="shared" si="66"/>
        <v>14799935.119999999</v>
      </c>
      <c r="L132" s="313">
        <f t="shared" si="66"/>
        <v>13683347</v>
      </c>
      <c r="M132" s="313">
        <f t="shared" si="66"/>
        <v>14463596.07</v>
      </c>
      <c r="N132" s="313">
        <f t="shared" ref="N132:R132" si="68">N133+N137+N138</f>
        <v>0</v>
      </c>
      <c r="O132" s="313">
        <f t="shared" si="68"/>
        <v>0</v>
      </c>
      <c r="P132" s="313">
        <f t="shared" si="68"/>
        <v>0</v>
      </c>
      <c r="Q132" s="313">
        <f t="shared" si="68"/>
        <v>0</v>
      </c>
      <c r="R132" s="313">
        <f t="shared" si="68"/>
        <v>0</v>
      </c>
    </row>
    <row r="133" spans="1:18">
      <c r="A133" s="303" t="s">
        <v>196</v>
      </c>
      <c r="B133" s="326">
        <v>9589396.1799999997</v>
      </c>
      <c r="C133" s="326">
        <v>8852646.4000000004</v>
      </c>
      <c r="D133" s="326">
        <v>9519350.75</v>
      </c>
      <c r="E133" s="326">
        <v>10679834.52</v>
      </c>
      <c r="F133" s="326">
        <v>10185955</v>
      </c>
      <c r="G133" s="326">
        <v>11273678.289999999</v>
      </c>
      <c r="H133" s="326">
        <v>12354816.16</v>
      </c>
      <c r="I133" s="326">
        <v>12218001.92</v>
      </c>
      <c r="J133" s="326">
        <v>13410292.380000001</v>
      </c>
      <c r="K133" s="326">
        <v>13797924.539999999</v>
      </c>
      <c r="L133" s="326">
        <v>12814402</v>
      </c>
      <c r="M133" s="326">
        <v>13651984.01</v>
      </c>
      <c r="N133" s="326">
        <f t="shared" ref="N133:R133" si="69">N134+N135+N136</f>
        <v>0</v>
      </c>
      <c r="O133" s="326">
        <f t="shared" si="69"/>
        <v>0</v>
      </c>
      <c r="P133" s="326">
        <f t="shared" si="69"/>
        <v>0</v>
      </c>
      <c r="Q133" s="326">
        <f t="shared" si="69"/>
        <v>0</v>
      </c>
      <c r="R133" s="326">
        <f t="shared" si="69"/>
        <v>0</v>
      </c>
    </row>
    <row r="134" spans="1:18">
      <c r="A134" s="303" t="s">
        <v>197</v>
      </c>
      <c r="B134" s="326">
        <v>675409.83</v>
      </c>
      <c r="C134" s="326">
        <v>625041</v>
      </c>
      <c r="D134" s="326">
        <v>670346.17000000004</v>
      </c>
      <c r="E134" s="326">
        <v>699068.68</v>
      </c>
      <c r="F134" s="326">
        <v>637156</v>
      </c>
      <c r="G134" s="326">
        <v>691168.63</v>
      </c>
      <c r="H134" s="326">
        <v>765672.44</v>
      </c>
      <c r="I134" s="326">
        <v>741191.88</v>
      </c>
      <c r="J134" s="326">
        <v>889023.38</v>
      </c>
      <c r="K134" s="326">
        <v>898794.31</v>
      </c>
      <c r="L134" s="326">
        <v>796998</v>
      </c>
      <c r="M134" s="326">
        <v>799991.39</v>
      </c>
      <c r="N134" s="326"/>
      <c r="O134" s="326"/>
      <c r="P134" s="326"/>
      <c r="Q134" s="326"/>
      <c r="R134" s="326"/>
    </row>
    <row r="135" spans="1:18">
      <c r="A135" s="303" t="s">
        <v>198</v>
      </c>
      <c r="B135" s="326">
        <v>67072.08</v>
      </c>
      <c r="C135" s="326">
        <v>53092.61</v>
      </c>
      <c r="D135" s="326">
        <v>40660.04</v>
      </c>
      <c r="E135" s="326">
        <v>30020.59</v>
      </c>
      <c r="F135" s="326">
        <v>18628</v>
      </c>
      <c r="G135" s="326">
        <v>27689.87</v>
      </c>
      <c r="H135" s="326">
        <v>45900.69</v>
      </c>
      <c r="I135" s="326">
        <v>33588.31</v>
      </c>
      <c r="J135" s="326">
        <v>72762.33</v>
      </c>
      <c r="K135" s="326">
        <v>103216.27</v>
      </c>
      <c r="L135" s="326">
        <v>71947</v>
      </c>
      <c r="M135" s="326">
        <v>11620.67</v>
      </c>
      <c r="N135" s="326"/>
      <c r="O135" s="326"/>
      <c r="P135" s="326"/>
      <c r="Q135" s="326"/>
      <c r="R135" s="326"/>
    </row>
    <row r="136" spans="1:18">
      <c r="A136" s="306" t="s">
        <v>207</v>
      </c>
      <c r="B136" s="326">
        <v>7381050.3099999996</v>
      </c>
      <c r="C136" s="326">
        <v>7131176.5</v>
      </c>
      <c r="D136" s="326">
        <v>7183123.8300000001</v>
      </c>
      <c r="E136" s="326">
        <v>7431381.8799999999</v>
      </c>
      <c r="F136" s="326">
        <v>7400980</v>
      </c>
      <c r="G136" s="326">
        <v>7472226.4500000002</v>
      </c>
      <c r="H136" s="326">
        <v>7518326.0800000001</v>
      </c>
      <c r="I136" s="326">
        <v>7518549.79</v>
      </c>
      <c r="J136" s="326">
        <v>7588637.8099999996</v>
      </c>
      <c r="K136" s="326">
        <v>7606138.71</v>
      </c>
      <c r="L136" s="326">
        <v>7568055</v>
      </c>
      <c r="M136" s="326">
        <v>7618111.0899999999</v>
      </c>
      <c r="N136" s="326"/>
      <c r="O136" s="326"/>
      <c r="P136" s="326"/>
      <c r="Q136" s="326"/>
      <c r="R136" s="326"/>
    </row>
    <row r="137" spans="1:18">
      <c r="A137" s="306" t="s">
        <v>208</v>
      </c>
      <c r="B137" s="326">
        <v>14731.7</v>
      </c>
      <c r="C137" s="326">
        <v>11283.19</v>
      </c>
      <c r="D137" s="326">
        <v>13257.21</v>
      </c>
      <c r="E137" s="326">
        <v>11770.63</v>
      </c>
      <c r="F137" s="326">
        <v>11283</v>
      </c>
      <c r="G137" s="326">
        <v>12716.13</v>
      </c>
      <c r="H137" s="326">
        <v>16830.95</v>
      </c>
      <c r="I137" s="326">
        <v>15251.35</v>
      </c>
      <c r="J137" s="326">
        <v>16564.009999999998</v>
      </c>
      <c r="K137" s="326">
        <v>65997.61</v>
      </c>
      <c r="L137" s="326">
        <v>12568</v>
      </c>
      <c r="M137" s="326">
        <v>12142.42</v>
      </c>
      <c r="N137" s="326"/>
      <c r="O137" s="326"/>
      <c r="P137" s="326"/>
      <c r="Q137" s="326"/>
      <c r="R137" s="326"/>
    </row>
    <row r="138" spans="1:18">
      <c r="A138" s="308"/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</row>
    <row r="139" spans="1:18">
      <c r="A139" s="359" t="s">
        <v>209</v>
      </c>
      <c r="B139" s="360">
        <f t="shared" ref="B139:M139" si="70">+B140+B141+B142+B143</f>
        <v>1546</v>
      </c>
      <c r="C139" s="360">
        <f t="shared" si="70"/>
        <v>1610</v>
      </c>
      <c r="D139" s="360">
        <f t="shared" si="70"/>
        <v>1538</v>
      </c>
      <c r="E139" s="360">
        <f t="shared" ref="E139" si="71">+E140+E141+E142+E143</f>
        <v>1771</v>
      </c>
      <c r="F139" s="360">
        <f t="shared" si="70"/>
        <v>2684</v>
      </c>
      <c r="G139" s="360">
        <f t="shared" si="70"/>
        <v>1833</v>
      </c>
      <c r="H139" s="360">
        <f t="shared" si="70"/>
        <v>2191</v>
      </c>
      <c r="I139" s="360">
        <f t="shared" si="70"/>
        <v>1819</v>
      </c>
      <c r="J139" s="360">
        <f t="shared" si="70"/>
        <v>2563</v>
      </c>
      <c r="K139" s="360">
        <f t="shared" si="70"/>
        <v>2391</v>
      </c>
      <c r="L139" s="360">
        <f t="shared" si="70"/>
        <v>405</v>
      </c>
      <c r="M139" s="360">
        <f t="shared" si="70"/>
        <v>346</v>
      </c>
      <c r="N139" s="313"/>
      <c r="O139" s="313"/>
      <c r="P139" s="313"/>
      <c r="Q139" s="313"/>
      <c r="R139" s="313"/>
    </row>
    <row r="140" spans="1:18" ht="14.25" customHeight="1">
      <c r="A140" s="306" t="s">
        <v>210</v>
      </c>
      <c r="B140" s="335">
        <v>648</v>
      </c>
      <c r="C140" s="335">
        <v>711</v>
      </c>
      <c r="D140" s="335">
        <v>766</v>
      </c>
      <c r="E140" s="335">
        <v>1017</v>
      </c>
      <c r="F140" s="335">
        <v>738</v>
      </c>
      <c r="G140" s="335">
        <v>994</v>
      </c>
      <c r="H140" s="335">
        <v>1359</v>
      </c>
      <c r="I140" s="335">
        <v>949</v>
      </c>
      <c r="J140" s="335">
        <v>1658</v>
      </c>
      <c r="K140" s="335">
        <v>1463</v>
      </c>
      <c r="L140" s="335">
        <v>169</v>
      </c>
      <c r="M140" s="335">
        <v>107</v>
      </c>
      <c r="N140" s="335"/>
      <c r="O140" s="335"/>
      <c r="P140" s="335"/>
      <c r="Q140" s="335"/>
      <c r="R140" s="335"/>
    </row>
    <row r="141" spans="1:18" ht="15" customHeight="1">
      <c r="A141" s="306" t="s">
        <v>211</v>
      </c>
      <c r="B141" s="335">
        <v>266</v>
      </c>
      <c r="C141" s="335">
        <v>257</v>
      </c>
      <c r="D141" s="335">
        <v>197</v>
      </c>
      <c r="E141" s="335">
        <v>201</v>
      </c>
      <c r="F141" s="335">
        <v>239</v>
      </c>
      <c r="G141" s="335">
        <v>297</v>
      </c>
      <c r="H141" s="335">
        <v>309</v>
      </c>
      <c r="I141" s="335">
        <v>341</v>
      </c>
      <c r="J141" s="335">
        <v>324</v>
      </c>
      <c r="K141" s="335">
        <v>331</v>
      </c>
      <c r="L141" s="335">
        <v>39</v>
      </c>
      <c r="M141" s="335">
        <v>45</v>
      </c>
      <c r="N141" s="335"/>
      <c r="O141" s="335"/>
      <c r="P141" s="335"/>
      <c r="Q141" s="335"/>
      <c r="R141" s="335"/>
    </row>
    <row r="142" spans="1:18">
      <c r="A142" s="306" t="s">
        <v>212</v>
      </c>
      <c r="B142" s="335">
        <v>392</v>
      </c>
      <c r="C142" s="335">
        <v>386</v>
      </c>
      <c r="D142" s="335">
        <v>346</v>
      </c>
      <c r="E142" s="335">
        <v>317</v>
      </c>
      <c r="F142" s="335">
        <v>260</v>
      </c>
      <c r="G142" s="335">
        <v>295</v>
      </c>
      <c r="H142" s="335">
        <v>289</v>
      </c>
      <c r="I142" s="335">
        <v>322</v>
      </c>
      <c r="J142" s="335">
        <v>378</v>
      </c>
      <c r="K142" s="335">
        <v>386</v>
      </c>
      <c r="L142" s="335">
        <v>42</v>
      </c>
      <c r="M142" s="335">
        <v>40</v>
      </c>
      <c r="N142" s="335"/>
      <c r="O142" s="335"/>
      <c r="P142" s="335"/>
      <c r="Q142" s="335"/>
      <c r="R142" s="335"/>
    </row>
    <row r="143" spans="1:18" ht="15" customHeight="1">
      <c r="A143" s="306" t="s">
        <v>213</v>
      </c>
      <c r="B143" s="335">
        <v>240</v>
      </c>
      <c r="C143" s="335">
        <v>256</v>
      </c>
      <c r="D143" s="335">
        <v>229</v>
      </c>
      <c r="E143" s="335">
        <v>236</v>
      </c>
      <c r="F143" s="335">
        <v>1447</v>
      </c>
      <c r="G143" s="335">
        <v>247</v>
      </c>
      <c r="H143" s="335">
        <v>234</v>
      </c>
      <c r="I143" s="335">
        <v>207</v>
      </c>
      <c r="J143" s="335">
        <v>203</v>
      </c>
      <c r="K143" s="335">
        <v>211</v>
      </c>
      <c r="L143" s="335">
        <v>155</v>
      </c>
      <c r="M143" s="335">
        <v>154</v>
      </c>
      <c r="N143" s="335"/>
      <c r="O143" s="335"/>
      <c r="P143" s="335"/>
      <c r="Q143" s="335"/>
      <c r="R143" s="335"/>
    </row>
    <row r="144" spans="1:18">
      <c r="A144" s="308"/>
      <c r="B144" s="300"/>
      <c r="C144" s="300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</row>
    <row r="145" spans="1:19">
      <c r="A145" s="372" t="s">
        <v>214</v>
      </c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</row>
    <row r="146" spans="1:19" ht="15" customHeight="1">
      <c r="A146" s="306" t="s">
        <v>215</v>
      </c>
      <c r="B146" s="326"/>
      <c r="C146" s="326"/>
      <c r="D146" s="326">
        <v>12.48</v>
      </c>
      <c r="E146" s="326">
        <v>12.48</v>
      </c>
      <c r="F146" s="326">
        <v>12.48</v>
      </c>
      <c r="G146" s="326">
        <v>12.48</v>
      </c>
      <c r="H146" s="326">
        <v>12.48</v>
      </c>
      <c r="I146" s="326">
        <v>12.48</v>
      </c>
      <c r="J146" s="326"/>
      <c r="K146" s="326"/>
      <c r="L146" s="327"/>
      <c r="M146" s="327"/>
      <c r="N146" s="326"/>
      <c r="O146" s="326"/>
      <c r="P146" s="326"/>
      <c r="Q146" s="326"/>
      <c r="R146" s="326"/>
    </row>
    <row r="147" spans="1:19" ht="15" customHeight="1">
      <c r="A147" s="306" t="s">
        <v>216</v>
      </c>
      <c r="B147" s="326"/>
      <c r="C147" s="326"/>
      <c r="D147" s="326">
        <v>150.63999999999999</v>
      </c>
      <c r="E147" s="326">
        <v>150.63999999999999</v>
      </c>
      <c r="F147" s="326">
        <v>150.63999999999999</v>
      </c>
      <c r="G147" s="326">
        <v>150.63999999999999</v>
      </c>
      <c r="H147" s="326">
        <v>150.63999999999999</v>
      </c>
      <c r="I147" s="326">
        <v>150.63999999999999</v>
      </c>
      <c r="J147" s="373"/>
      <c r="K147" s="326"/>
      <c r="L147" s="327"/>
      <c r="M147" s="326"/>
      <c r="N147" s="326"/>
      <c r="O147" s="326"/>
      <c r="P147" s="326"/>
      <c r="Q147" s="326"/>
      <c r="R147" s="326"/>
    </row>
    <row r="148" spans="1:19" ht="14.25" customHeight="1">
      <c r="A148" s="306" t="s">
        <v>217</v>
      </c>
      <c r="B148" s="326"/>
      <c r="C148" s="326"/>
      <c r="D148" s="326">
        <v>29.9</v>
      </c>
      <c r="E148" s="326">
        <v>28.97</v>
      </c>
      <c r="F148" s="326">
        <v>28.97</v>
      </c>
      <c r="G148" s="326">
        <v>28.97</v>
      </c>
      <c r="H148" s="326">
        <v>28.97</v>
      </c>
      <c r="I148" s="326">
        <v>28.97</v>
      </c>
      <c r="J148" s="326"/>
      <c r="K148" s="326"/>
      <c r="L148" s="327"/>
      <c r="M148" s="326"/>
      <c r="N148" s="326"/>
      <c r="O148" s="326"/>
      <c r="P148" s="326"/>
      <c r="Q148" s="326"/>
      <c r="R148" s="326"/>
    </row>
    <row r="149" spans="1:19">
      <c r="A149" s="330" t="s">
        <v>218</v>
      </c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7"/>
      <c r="M149" s="326"/>
      <c r="N149" s="326"/>
      <c r="O149" s="326"/>
      <c r="P149" s="326"/>
      <c r="Q149" s="326"/>
      <c r="R149" s="326"/>
    </row>
    <row r="150" spans="1:19" ht="14.25" customHeight="1">
      <c r="A150" s="344"/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</row>
    <row r="151" spans="1:19">
      <c r="A151" s="375" t="s">
        <v>192</v>
      </c>
      <c r="B151" s="376"/>
      <c r="C151" s="376"/>
      <c r="D151" s="376"/>
      <c r="E151" s="376"/>
      <c r="F151" s="376"/>
      <c r="G151" s="376"/>
      <c r="H151" s="376"/>
      <c r="I151" s="376"/>
      <c r="J151" s="374"/>
      <c r="K151" s="374"/>
      <c r="L151" s="376"/>
      <c r="M151" s="376"/>
      <c r="N151" s="376"/>
      <c r="O151" s="376"/>
      <c r="P151" s="376"/>
      <c r="Q151" s="376"/>
      <c r="R151" s="376"/>
    </row>
    <row r="152" spans="1:19">
      <c r="A152" s="346" t="s">
        <v>219</v>
      </c>
      <c r="B152" s="360"/>
      <c r="C152" s="360"/>
      <c r="D152" s="360"/>
      <c r="E152" s="360"/>
      <c r="F152" s="360"/>
      <c r="G152" s="360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</row>
    <row r="153" spans="1:19">
      <c r="A153" s="333" t="s">
        <v>219</v>
      </c>
      <c r="B153" s="331">
        <f t="shared" ref="B153:D153" si="72">+B155/B154</f>
        <v>1</v>
      </c>
      <c r="C153" s="331">
        <f t="shared" si="72"/>
        <v>1</v>
      </c>
      <c r="D153" s="331">
        <f t="shared" si="72"/>
        <v>1</v>
      </c>
      <c r="E153" s="331">
        <f t="shared" ref="E153" si="73">+E155/E154</f>
        <v>1</v>
      </c>
      <c r="F153" s="331">
        <v>0.91</v>
      </c>
      <c r="G153" s="331">
        <v>0.91</v>
      </c>
      <c r="H153" s="331">
        <f t="shared" ref="H153:I153" si="74">+H155/H154</f>
        <v>1</v>
      </c>
      <c r="I153" s="331">
        <f t="shared" si="74"/>
        <v>1</v>
      </c>
      <c r="J153" s="331">
        <v>0.91</v>
      </c>
      <c r="K153" s="331">
        <f t="shared" ref="K153" si="75">+K155/K154</f>
        <v>1</v>
      </c>
      <c r="L153" s="331">
        <v>0.91</v>
      </c>
      <c r="M153" s="331">
        <v>0.91</v>
      </c>
      <c r="N153" s="331"/>
      <c r="O153" s="331"/>
      <c r="P153" s="331"/>
      <c r="Q153" s="331"/>
      <c r="R153" s="331"/>
    </row>
    <row r="154" spans="1:19">
      <c r="A154" s="330" t="s">
        <v>220</v>
      </c>
      <c r="B154" s="335">
        <v>15235</v>
      </c>
      <c r="C154" s="335">
        <v>15235</v>
      </c>
      <c r="D154" s="335">
        <v>15235</v>
      </c>
      <c r="E154" s="335">
        <v>15235</v>
      </c>
      <c r="F154" s="335">
        <v>15235</v>
      </c>
      <c r="G154" s="335">
        <v>15235</v>
      </c>
      <c r="H154" s="335">
        <v>15235</v>
      </c>
      <c r="I154" s="335">
        <v>15235</v>
      </c>
      <c r="J154" s="335">
        <v>15235</v>
      </c>
      <c r="K154" s="335">
        <v>15235</v>
      </c>
      <c r="L154" s="335">
        <v>15235</v>
      </c>
      <c r="M154" s="335">
        <v>15235</v>
      </c>
      <c r="N154" s="335"/>
      <c r="O154" s="335"/>
      <c r="P154" s="335"/>
      <c r="Q154" s="335"/>
      <c r="R154" s="335"/>
    </row>
    <row r="155" spans="1:19">
      <c r="A155" s="330" t="s">
        <v>221</v>
      </c>
      <c r="B155" s="335">
        <v>15235</v>
      </c>
      <c r="C155" s="335">
        <v>15235</v>
      </c>
      <c r="D155" s="335">
        <v>15235</v>
      </c>
      <c r="E155" s="335">
        <v>15235</v>
      </c>
      <c r="F155" s="335">
        <v>15235</v>
      </c>
      <c r="G155" s="335">
        <v>15235</v>
      </c>
      <c r="H155" s="335">
        <v>15235</v>
      </c>
      <c r="I155" s="335">
        <v>15235</v>
      </c>
      <c r="J155" s="335">
        <v>15235</v>
      </c>
      <c r="K155" s="335">
        <v>15235</v>
      </c>
      <c r="L155" s="335">
        <v>15235</v>
      </c>
      <c r="M155" s="335">
        <v>15235</v>
      </c>
      <c r="N155" s="335"/>
      <c r="O155" s="335"/>
      <c r="P155" s="335"/>
      <c r="Q155" s="335"/>
      <c r="R155" s="335"/>
    </row>
    <row r="156" spans="1:19">
      <c r="A156" s="330" t="s">
        <v>222</v>
      </c>
      <c r="B156" s="335">
        <v>14473.25</v>
      </c>
      <c r="C156" s="335">
        <v>14473.25</v>
      </c>
      <c r="D156" s="335">
        <v>14473.25</v>
      </c>
      <c r="E156" s="335">
        <v>14473.25</v>
      </c>
      <c r="F156" s="335">
        <v>14473</v>
      </c>
      <c r="G156" s="335">
        <v>14473</v>
      </c>
      <c r="H156" s="335">
        <v>14473</v>
      </c>
      <c r="I156" s="335">
        <v>14473</v>
      </c>
      <c r="J156" s="335">
        <v>14473</v>
      </c>
      <c r="K156" s="335">
        <v>14473</v>
      </c>
      <c r="L156" s="335">
        <v>14473</v>
      </c>
      <c r="M156" s="335">
        <v>14473</v>
      </c>
      <c r="N156" s="335"/>
      <c r="O156" s="335"/>
      <c r="P156" s="335"/>
      <c r="Q156" s="335"/>
      <c r="R156" s="335"/>
    </row>
    <row r="157" spans="1:19">
      <c r="A157" s="330" t="s">
        <v>223</v>
      </c>
      <c r="B157" s="335">
        <v>0</v>
      </c>
      <c r="C157" s="335">
        <v>0</v>
      </c>
      <c r="D157" s="335">
        <v>0</v>
      </c>
      <c r="E157" s="335">
        <v>0</v>
      </c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</row>
    <row r="158" spans="1:19">
      <c r="A158" s="330" t="s">
        <v>224</v>
      </c>
      <c r="B158" s="335">
        <v>0</v>
      </c>
      <c r="C158" s="335">
        <v>0</v>
      </c>
      <c r="D158" s="335">
        <v>0</v>
      </c>
      <c r="E158" s="335">
        <v>0</v>
      </c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</row>
    <row r="159" spans="1:19">
      <c r="A159" s="403" t="s">
        <v>225</v>
      </c>
      <c r="B159" s="364">
        <f>3493+476</f>
        <v>3969</v>
      </c>
      <c r="C159" s="335">
        <v>3812</v>
      </c>
      <c r="D159" s="335">
        <v>4478</v>
      </c>
      <c r="E159" s="335">
        <v>3608</v>
      </c>
      <c r="F159" s="335">
        <v>4334</v>
      </c>
      <c r="G159" s="335">
        <v>4219</v>
      </c>
      <c r="H159" s="335">
        <v>3881</v>
      </c>
      <c r="I159" s="335">
        <v>2703</v>
      </c>
      <c r="J159" s="335">
        <v>3308</v>
      </c>
      <c r="K159" s="364">
        <v>3457</v>
      </c>
      <c r="L159" s="335">
        <v>2581</v>
      </c>
      <c r="M159" s="335">
        <v>3151</v>
      </c>
      <c r="N159" s="335"/>
      <c r="O159" s="335"/>
      <c r="P159" s="335"/>
      <c r="Q159" s="335"/>
      <c r="R159" s="335"/>
      <c r="S159" s="318">
        <v>15</v>
      </c>
    </row>
    <row r="160" spans="1:19">
      <c r="A160" s="403" t="s">
        <v>226</v>
      </c>
      <c r="B160" s="364">
        <f>1298+206</f>
        <v>1504</v>
      </c>
      <c r="C160" s="335">
        <v>1504</v>
      </c>
      <c r="D160" s="335">
        <v>1181</v>
      </c>
      <c r="E160" s="335">
        <v>1223</v>
      </c>
      <c r="F160" s="335">
        <v>1244</v>
      </c>
      <c r="G160" s="335">
        <v>1244</v>
      </c>
      <c r="H160" s="335">
        <v>1279</v>
      </c>
      <c r="I160" s="335">
        <v>1282</v>
      </c>
      <c r="J160" s="335">
        <v>1306</v>
      </c>
      <c r="K160" s="364">
        <v>1312</v>
      </c>
      <c r="L160" s="335">
        <v>872</v>
      </c>
      <c r="M160" s="335">
        <v>878</v>
      </c>
      <c r="N160" s="335"/>
      <c r="O160" s="335"/>
      <c r="P160" s="335"/>
      <c r="Q160" s="335"/>
      <c r="R160" s="335"/>
      <c r="S160" s="318">
        <v>16</v>
      </c>
    </row>
    <row r="161" spans="1:18">
      <c r="A161" s="330" t="s">
        <v>227</v>
      </c>
      <c r="B161" s="326">
        <v>1.01</v>
      </c>
      <c r="C161" s="326">
        <v>1.01</v>
      </c>
      <c r="D161" s="326">
        <v>1.01</v>
      </c>
      <c r="E161" s="326">
        <v>1.01</v>
      </c>
      <c r="F161" s="326">
        <v>1.01</v>
      </c>
      <c r="G161" s="326">
        <v>1.01</v>
      </c>
      <c r="H161" s="326">
        <v>1.01</v>
      </c>
      <c r="I161" s="326">
        <v>1.01</v>
      </c>
      <c r="J161" s="326">
        <v>1.01</v>
      </c>
      <c r="K161" s="326">
        <v>1.01</v>
      </c>
      <c r="L161" s="326">
        <v>1.01</v>
      </c>
      <c r="M161" s="326">
        <v>1.01</v>
      </c>
      <c r="N161" s="335"/>
      <c r="O161" s="335"/>
      <c r="P161" s="335"/>
      <c r="Q161" s="335"/>
      <c r="R161" s="335"/>
    </row>
    <row r="162" spans="1:18">
      <c r="A162" s="330" t="s">
        <v>228</v>
      </c>
      <c r="B162" s="326">
        <v>1.7749999999999999</v>
      </c>
      <c r="C162" s="326">
        <v>1.7749999999999999</v>
      </c>
      <c r="D162" s="326">
        <v>1.78</v>
      </c>
      <c r="E162" s="326">
        <v>1.78</v>
      </c>
      <c r="F162" s="326">
        <v>1.78</v>
      </c>
      <c r="G162" s="326">
        <v>1.78</v>
      </c>
      <c r="H162" s="326">
        <v>1.78</v>
      </c>
      <c r="I162" s="326">
        <v>1.78</v>
      </c>
      <c r="J162" s="326">
        <v>1.78</v>
      </c>
      <c r="K162" s="326">
        <v>1.78</v>
      </c>
      <c r="L162" s="326">
        <v>1.78</v>
      </c>
      <c r="M162" s="326">
        <v>1.78</v>
      </c>
      <c r="N162" s="335"/>
      <c r="O162" s="335"/>
      <c r="P162" s="335"/>
      <c r="Q162" s="335"/>
      <c r="R162" s="335"/>
    </row>
    <row r="163" spans="1:18">
      <c r="A163" s="330" t="s">
        <v>229</v>
      </c>
      <c r="B163" s="326">
        <v>3</v>
      </c>
      <c r="C163" s="326">
        <v>3</v>
      </c>
      <c r="D163" s="326">
        <v>3</v>
      </c>
      <c r="E163" s="326">
        <v>3</v>
      </c>
      <c r="F163" s="326">
        <v>3</v>
      </c>
      <c r="G163" s="326">
        <v>3</v>
      </c>
      <c r="H163" s="326">
        <v>3</v>
      </c>
      <c r="I163" s="326">
        <v>3</v>
      </c>
      <c r="J163" s="326">
        <v>3</v>
      </c>
      <c r="K163" s="326">
        <v>3</v>
      </c>
      <c r="L163" s="326">
        <v>3</v>
      </c>
      <c r="M163" s="326">
        <v>3</v>
      </c>
      <c r="N163" s="335"/>
      <c r="O163" s="335"/>
      <c r="P163" s="335"/>
      <c r="Q163" s="335"/>
      <c r="R163" s="335"/>
    </row>
    <row r="164" spans="1:18">
      <c r="A164" s="330" t="s">
        <v>230</v>
      </c>
      <c r="B164" s="326">
        <v>162</v>
      </c>
      <c r="C164" s="326">
        <v>162</v>
      </c>
      <c r="D164" s="326">
        <v>162</v>
      </c>
      <c r="E164" s="326">
        <v>162</v>
      </c>
      <c r="F164" s="326">
        <v>162</v>
      </c>
      <c r="G164" s="326">
        <v>162</v>
      </c>
      <c r="H164" s="326">
        <v>162</v>
      </c>
      <c r="I164" s="326">
        <v>162</v>
      </c>
      <c r="J164" s="326">
        <v>162</v>
      </c>
      <c r="K164" s="326">
        <v>162</v>
      </c>
      <c r="L164" s="326">
        <v>162</v>
      </c>
      <c r="M164" s="326">
        <v>162</v>
      </c>
      <c r="N164" s="335"/>
      <c r="O164" s="335"/>
      <c r="P164" s="335"/>
      <c r="Q164" s="335"/>
      <c r="R164" s="335"/>
    </row>
    <row r="165" spans="1:18">
      <c r="A165" s="330" t="s">
        <v>231</v>
      </c>
      <c r="B165" s="377"/>
      <c r="C165" s="335"/>
      <c r="D165" s="335"/>
      <c r="E165" s="335"/>
      <c r="F165" s="335"/>
      <c r="G165" s="335"/>
      <c r="H165" s="335"/>
      <c r="I165" s="335"/>
      <c r="J165" s="326"/>
      <c r="K165" s="335"/>
      <c r="L165" s="335"/>
      <c r="M165" s="377"/>
      <c r="N165" s="377"/>
      <c r="O165" s="377"/>
      <c r="P165" s="377"/>
      <c r="Q165" s="377"/>
      <c r="R165" s="377"/>
    </row>
    <row r="166" spans="1:18">
      <c r="A166" s="330" t="s">
        <v>232</v>
      </c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</row>
    <row r="167" spans="1:18">
      <c r="A167" s="330" t="s">
        <v>233</v>
      </c>
      <c r="B167" s="326">
        <v>16</v>
      </c>
      <c r="C167" s="357">
        <v>23</v>
      </c>
      <c r="D167" s="357">
        <v>38</v>
      </c>
      <c r="E167" s="357">
        <v>29</v>
      </c>
      <c r="F167" s="438">
        <v>19</v>
      </c>
      <c r="G167" s="438">
        <v>10</v>
      </c>
      <c r="H167" s="438">
        <v>18</v>
      </c>
      <c r="I167" s="439">
        <v>20</v>
      </c>
      <c r="J167" s="438">
        <v>18</v>
      </c>
      <c r="K167" s="326">
        <v>20</v>
      </c>
      <c r="L167" s="438">
        <v>15</v>
      </c>
      <c r="M167" s="438">
        <v>33</v>
      </c>
      <c r="N167" s="326"/>
      <c r="O167" s="326"/>
      <c r="P167" s="326"/>
      <c r="Q167" s="326"/>
      <c r="R167" s="326"/>
    </row>
    <row r="168" spans="1:18">
      <c r="A168" s="333" t="s">
        <v>234</v>
      </c>
      <c r="B168" s="335">
        <v>15</v>
      </c>
      <c r="C168" s="335">
        <v>13</v>
      </c>
      <c r="D168" s="335">
        <v>7</v>
      </c>
      <c r="E168" s="335">
        <v>8</v>
      </c>
      <c r="F168" s="335">
        <v>6</v>
      </c>
      <c r="G168" s="335">
        <v>17</v>
      </c>
      <c r="H168" s="335">
        <v>10</v>
      </c>
      <c r="I168" s="364">
        <v>12</v>
      </c>
      <c r="J168" s="335">
        <v>14</v>
      </c>
      <c r="K168" s="335">
        <v>4</v>
      </c>
      <c r="L168" s="335">
        <v>16</v>
      </c>
      <c r="M168" s="335">
        <v>6</v>
      </c>
      <c r="N168" s="335"/>
      <c r="O168" s="335"/>
      <c r="P168" s="335"/>
      <c r="Q168" s="335"/>
      <c r="R168" s="335"/>
    </row>
    <row r="169" spans="1:18">
      <c r="A169" s="330" t="s">
        <v>235</v>
      </c>
      <c r="B169" s="335">
        <f>+B112</f>
        <v>6897</v>
      </c>
      <c r="C169" s="335">
        <f>+C112</f>
        <v>6906</v>
      </c>
      <c r="D169" s="335">
        <f t="shared" ref="D169:M169" si="76">+D112</f>
        <v>6920</v>
      </c>
      <c r="E169" s="335">
        <f t="shared" ref="E169" si="77">+E112</f>
        <v>6928</v>
      </c>
      <c r="F169" s="335">
        <f t="shared" si="76"/>
        <v>7187</v>
      </c>
      <c r="G169" s="335">
        <f t="shared" si="76"/>
        <v>7200</v>
      </c>
      <c r="H169" s="335">
        <f t="shared" si="76"/>
        <v>7203</v>
      </c>
      <c r="I169" s="335">
        <f t="shared" si="76"/>
        <v>7210</v>
      </c>
      <c r="J169" s="335">
        <f t="shared" si="76"/>
        <v>7220</v>
      </c>
      <c r="K169" s="335">
        <f t="shared" si="76"/>
        <v>7234</v>
      </c>
      <c r="L169" s="335">
        <f t="shared" si="76"/>
        <v>7233</v>
      </c>
      <c r="M169" s="335">
        <f t="shared" si="76"/>
        <v>7239</v>
      </c>
      <c r="N169" s="335"/>
      <c r="O169" s="335"/>
      <c r="P169" s="335"/>
      <c r="Q169" s="335"/>
      <c r="R169" s="335"/>
    </row>
    <row r="170" spans="1:18">
      <c r="A170" s="330" t="s">
        <v>236</v>
      </c>
      <c r="B170" s="335"/>
      <c r="C170" s="335"/>
      <c r="D170" s="357">
        <v>0</v>
      </c>
      <c r="E170" s="357">
        <v>0</v>
      </c>
      <c r="F170" s="335">
        <v>0</v>
      </c>
      <c r="G170" s="335">
        <v>0</v>
      </c>
      <c r="H170" s="335">
        <v>0</v>
      </c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</row>
    <row r="171" spans="1:18">
      <c r="A171" s="330" t="s">
        <v>237</v>
      </c>
      <c r="B171" s="335">
        <v>6</v>
      </c>
      <c r="C171" s="335">
        <v>6</v>
      </c>
      <c r="D171" s="335">
        <v>6</v>
      </c>
      <c r="E171" s="335">
        <v>6</v>
      </c>
      <c r="F171" s="335">
        <v>6</v>
      </c>
      <c r="G171" s="335">
        <v>6</v>
      </c>
      <c r="H171" s="335">
        <v>6</v>
      </c>
      <c r="I171" s="335">
        <v>6</v>
      </c>
      <c r="J171" s="335">
        <v>6</v>
      </c>
      <c r="K171" s="335">
        <v>6</v>
      </c>
      <c r="L171" s="335">
        <v>6</v>
      </c>
      <c r="M171" s="335">
        <v>6</v>
      </c>
      <c r="N171" s="335"/>
      <c r="O171" s="335"/>
      <c r="P171" s="335"/>
      <c r="Q171" s="335"/>
      <c r="R171" s="335"/>
    </row>
    <row r="172" spans="1:18">
      <c r="A172" s="330" t="s">
        <v>238</v>
      </c>
      <c r="B172" s="335">
        <v>4</v>
      </c>
      <c r="C172" s="335">
        <v>4</v>
      </c>
      <c r="D172" s="335">
        <v>6</v>
      </c>
      <c r="E172" s="335">
        <v>6</v>
      </c>
      <c r="F172" s="335">
        <v>6</v>
      </c>
      <c r="G172" s="335">
        <v>6</v>
      </c>
      <c r="H172" s="335">
        <v>6</v>
      </c>
      <c r="I172" s="335">
        <v>6</v>
      </c>
      <c r="J172" s="335">
        <v>6</v>
      </c>
      <c r="K172" s="335">
        <v>6</v>
      </c>
      <c r="L172" s="335">
        <v>6</v>
      </c>
      <c r="M172" s="335">
        <v>6</v>
      </c>
      <c r="N172" s="335"/>
      <c r="O172" s="335"/>
      <c r="P172" s="335"/>
      <c r="Q172" s="335"/>
      <c r="R172" s="335"/>
    </row>
    <row r="173" spans="1:18">
      <c r="A173" s="330" t="s">
        <v>239</v>
      </c>
      <c r="B173" s="335">
        <v>4</v>
      </c>
      <c r="C173" s="335">
        <v>4</v>
      </c>
      <c r="D173" s="335">
        <v>6</v>
      </c>
      <c r="E173" s="335">
        <v>6</v>
      </c>
      <c r="F173" s="335">
        <v>6</v>
      </c>
      <c r="G173" s="335">
        <v>6</v>
      </c>
      <c r="H173" s="335">
        <v>6</v>
      </c>
      <c r="I173" s="335">
        <v>6</v>
      </c>
      <c r="J173" s="335">
        <v>6</v>
      </c>
      <c r="K173" s="335">
        <v>6</v>
      </c>
      <c r="L173" s="335">
        <v>6</v>
      </c>
      <c r="M173" s="335">
        <v>6</v>
      </c>
      <c r="N173" s="335"/>
      <c r="O173" s="335"/>
      <c r="P173" s="335"/>
      <c r="Q173" s="335"/>
      <c r="R173" s="335"/>
    </row>
    <row r="174" spans="1:18">
      <c r="A174" s="378" t="s">
        <v>240</v>
      </c>
      <c r="B174" s="379">
        <v>170</v>
      </c>
      <c r="C174" s="365">
        <f t="shared" ref="C174:F174" si="78">+C175+C176+C177+C178+C179</f>
        <v>21</v>
      </c>
      <c r="D174" s="365">
        <f t="shared" si="78"/>
        <v>21</v>
      </c>
      <c r="E174" s="365">
        <f t="shared" si="78"/>
        <v>21</v>
      </c>
      <c r="F174" s="365">
        <f t="shared" si="78"/>
        <v>22</v>
      </c>
      <c r="G174" s="379">
        <v>22</v>
      </c>
      <c r="H174" s="379">
        <v>22</v>
      </c>
      <c r="I174" s="379">
        <v>22</v>
      </c>
      <c r="J174" s="379">
        <v>170</v>
      </c>
      <c r="K174" s="379">
        <v>170</v>
      </c>
      <c r="L174" s="379">
        <v>170</v>
      </c>
      <c r="M174" s="379">
        <v>170</v>
      </c>
      <c r="N174" s="379"/>
      <c r="O174" s="379"/>
      <c r="P174" s="379"/>
      <c r="Q174" s="379"/>
      <c r="R174" s="379"/>
    </row>
    <row r="175" spans="1:18">
      <c r="A175" s="330" t="s">
        <v>241</v>
      </c>
      <c r="B175" s="335">
        <v>8</v>
      </c>
      <c r="C175" s="335">
        <v>8</v>
      </c>
      <c r="D175" s="335">
        <v>8</v>
      </c>
      <c r="E175" s="335">
        <v>8</v>
      </c>
      <c r="F175" s="335">
        <v>8</v>
      </c>
      <c r="G175" s="335">
        <v>8</v>
      </c>
      <c r="H175" s="335">
        <v>8</v>
      </c>
      <c r="I175" s="335">
        <v>8</v>
      </c>
      <c r="J175" s="335">
        <v>8</v>
      </c>
      <c r="K175" s="335">
        <v>8</v>
      </c>
      <c r="L175" s="335">
        <v>8</v>
      </c>
      <c r="M175" s="335">
        <v>8</v>
      </c>
      <c r="N175" s="335"/>
      <c r="O175" s="335"/>
      <c r="P175" s="335"/>
      <c r="Q175" s="335"/>
      <c r="R175" s="335"/>
    </row>
    <row r="176" spans="1:18">
      <c r="A176" s="330" t="s">
        <v>242</v>
      </c>
      <c r="B176" s="335"/>
      <c r="C176" s="335"/>
      <c r="D176" s="335"/>
      <c r="E176" s="335"/>
      <c r="F176" s="335"/>
      <c r="G176" s="335"/>
      <c r="H176" s="335"/>
      <c r="I176" s="335"/>
      <c r="J176" s="364"/>
      <c r="K176" s="335"/>
      <c r="L176" s="335"/>
      <c r="M176" s="335"/>
      <c r="N176" s="335"/>
      <c r="O176" s="335"/>
      <c r="P176" s="335"/>
      <c r="Q176" s="335"/>
      <c r="R176" s="335"/>
    </row>
    <row r="177" spans="1:19">
      <c r="A177" s="330" t="s">
        <v>243</v>
      </c>
      <c r="B177" s="335"/>
      <c r="C177" s="335"/>
      <c r="D177" s="380"/>
      <c r="E177" s="380"/>
      <c r="F177" s="380"/>
      <c r="G177" s="380"/>
      <c r="H177" s="335"/>
      <c r="I177" s="335"/>
      <c r="J177" s="364"/>
      <c r="K177" s="335"/>
      <c r="L177" s="335"/>
      <c r="M177" s="335"/>
      <c r="N177" s="335"/>
      <c r="O177" s="335"/>
      <c r="P177" s="335"/>
      <c r="Q177" s="335"/>
      <c r="R177" s="335"/>
    </row>
    <row r="178" spans="1:19">
      <c r="A178" s="330" t="s">
        <v>244</v>
      </c>
      <c r="B178" s="335"/>
      <c r="C178" s="335"/>
      <c r="D178" s="380"/>
      <c r="E178" s="380"/>
      <c r="F178" s="380"/>
      <c r="G178" s="380"/>
      <c r="H178" s="335"/>
      <c r="I178" s="335"/>
      <c r="J178" s="364"/>
      <c r="K178" s="335"/>
      <c r="L178" s="335"/>
      <c r="M178" s="335"/>
      <c r="N178" s="335"/>
      <c r="O178" s="335"/>
      <c r="P178" s="335"/>
      <c r="Q178" s="335"/>
      <c r="R178" s="335"/>
    </row>
    <row r="179" spans="1:19">
      <c r="A179" s="330" t="s">
        <v>245</v>
      </c>
      <c r="B179" s="335">
        <v>13</v>
      </c>
      <c r="C179" s="335">
        <v>13</v>
      </c>
      <c r="D179" s="380">
        <v>13</v>
      </c>
      <c r="E179" s="380">
        <v>13</v>
      </c>
      <c r="F179" s="380">
        <v>14</v>
      </c>
      <c r="G179" s="380">
        <v>14</v>
      </c>
      <c r="H179" s="380">
        <v>14</v>
      </c>
      <c r="I179" s="380">
        <v>14</v>
      </c>
      <c r="J179" s="380">
        <v>14</v>
      </c>
      <c r="K179" s="380">
        <v>14</v>
      </c>
      <c r="L179" s="380">
        <v>14</v>
      </c>
      <c r="M179" s="380">
        <v>14</v>
      </c>
      <c r="N179" s="335"/>
      <c r="O179" s="335"/>
      <c r="P179" s="335"/>
      <c r="Q179" s="335"/>
      <c r="R179" s="335"/>
    </row>
    <row r="180" spans="1:19" s="382" customFormat="1" ht="22.5" customHeight="1">
      <c r="A180" s="381" t="s">
        <v>246</v>
      </c>
      <c r="B180" s="362">
        <v>5</v>
      </c>
      <c r="C180" s="362">
        <v>5</v>
      </c>
      <c r="D180" s="362">
        <v>8</v>
      </c>
      <c r="E180" s="362">
        <v>8</v>
      </c>
      <c r="F180" s="362">
        <v>8</v>
      </c>
      <c r="G180" s="362">
        <v>8</v>
      </c>
      <c r="H180" s="362">
        <v>8</v>
      </c>
      <c r="I180" s="362">
        <v>8</v>
      </c>
      <c r="J180" s="362">
        <v>8</v>
      </c>
      <c r="K180" s="362">
        <v>8</v>
      </c>
      <c r="L180" s="362">
        <v>8</v>
      </c>
      <c r="M180" s="362">
        <v>8</v>
      </c>
      <c r="N180" s="362"/>
      <c r="O180" s="362"/>
      <c r="P180" s="362"/>
      <c r="Q180" s="362"/>
      <c r="R180" s="362"/>
    </row>
    <row r="181" spans="1:19">
      <c r="A181" s="333"/>
      <c r="B181" s="335"/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</row>
    <row r="182" spans="1:19">
      <c r="A182" s="330" t="s">
        <v>247</v>
      </c>
      <c r="B182" s="335">
        <v>3</v>
      </c>
      <c r="C182" s="335">
        <v>3</v>
      </c>
      <c r="D182" s="335">
        <v>6</v>
      </c>
      <c r="E182" s="335">
        <v>6</v>
      </c>
      <c r="F182" s="335">
        <v>6</v>
      </c>
      <c r="G182" s="335">
        <v>6</v>
      </c>
      <c r="H182" s="335">
        <v>6</v>
      </c>
      <c r="I182" s="335">
        <v>6</v>
      </c>
      <c r="J182" s="335">
        <v>6</v>
      </c>
      <c r="K182" s="335">
        <v>6</v>
      </c>
      <c r="L182" s="335">
        <v>6</v>
      </c>
      <c r="M182" s="335">
        <v>6</v>
      </c>
      <c r="N182" s="335"/>
      <c r="O182" s="335"/>
      <c r="P182" s="335"/>
      <c r="Q182" s="335"/>
      <c r="R182" s="335"/>
    </row>
    <row r="183" spans="1:19" ht="18">
      <c r="A183" s="330" t="s">
        <v>317</v>
      </c>
      <c r="B183" s="335">
        <v>100</v>
      </c>
      <c r="C183" s="335">
        <v>100</v>
      </c>
      <c r="D183" s="335">
        <v>100</v>
      </c>
      <c r="E183" s="335">
        <v>100</v>
      </c>
      <c r="F183" s="335">
        <v>100</v>
      </c>
      <c r="G183" s="335">
        <v>100</v>
      </c>
      <c r="H183" s="335">
        <v>100</v>
      </c>
      <c r="I183" s="335">
        <v>100</v>
      </c>
      <c r="J183" s="335">
        <v>100</v>
      </c>
      <c r="K183" s="335">
        <v>100</v>
      </c>
      <c r="L183" s="335">
        <v>100</v>
      </c>
      <c r="M183" s="335">
        <v>100</v>
      </c>
      <c r="N183" s="335"/>
      <c r="O183" s="335"/>
      <c r="P183" s="335"/>
      <c r="Q183" s="335"/>
      <c r="R183" s="335"/>
    </row>
    <row r="184" spans="1:19">
      <c r="A184" s="383"/>
      <c r="B184" s="384"/>
      <c r="C184" s="384"/>
      <c r="D184" s="384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</row>
    <row r="185" spans="1:19">
      <c r="A185" s="385"/>
      <c r="B185" s="384"/>
      <c r="C185" s="384"/>
      <c r="D185" s="384"/>
      <c r="E185" s="384"/>
      <c r="F185" s="384"/>
      <c r="G185" s="384"/>
      <c r="H185" s="386"/>
      <c r="I185" s="386"/>
      <c r="J185" s="386"/>
      <c r="K185" s="386"/>
      <c r="L185" s="386"/>
      <c r="M185" s="386"/>
      <c r="N185" s="386"/>
      <c r="O185" s="386"/>
      <c r="P185" s="386"/>
      <c r="Q185" s="386"/>
      <c r="R185" s="386"/>
    </row>
    <row r="186" spans="1:19">
      <c r="A186" s="346" t="s">
        <v>248</v>
      </c>
      <c r="B186" s="337">
        <f>+B187+B194+B195</f>
        <v>28</v>
      </c>
      <c r="C186" s="337">
        <f t="shared" ref="C186:M186" si="79">+C187+C194+C195</f>
        <v>28</v>
      </c>
      <c r="D186" s="337">
        <f t="shared" si="79"/>
        <v>28</v>
      </c>
      <c r="E186" s="337">
        <f t="shared" ref="E186" si="80">+E187+E194+E195</f>
        <v>28</v>
      </c>
      <c r="F186" s="337">
        <v>28</v>
      </c>
      <c r="G186" s="337">
        <f t="shared" si="79"/>
        <v>28</v>
      </c>
      <c r="H186" s="337">
        <v>28</v>
      </c>
      <c r="I186" s="337">
        <f t="shared" ref="I186" si="81">+I187+I194+I195</f>
        <v>29</v>
      </c>
      <c r="J186" s="337">
        <f t="shared" si="79"/>
        <v>28</v>
      </c>
      <c r="K186" s="337">
        <f t="shared" si="79"/>
        <v>29</v>
      </c>
      <c r="L186" s="337">
        <f t="shared" si="79"/>
        <v>29</v>
      </c>
      <c r="M186" s="337">
        <f t="shared" si="79"/>
        <v>29</v>
      </c>
      <c r="N186" s="337"/>
      <c r="O186" s="337"/>
      <c r="P186" s="337"/>
      <c r="Q186" s="337"/>
      <c r="R186" s="337"/>
    </row>
    <row r="187" spans="1:19">
      <c r="A187" s="366" t="s">
        <v>249</v>
      </c>
      <c r="B187" s="360">
        <f>SUM(B188:B193)</f>
        <v>25</v>
      </c>
      <c r="C187" s="360">
        <f t="shared" ref="C187:M187" si="82">SUM(C188:C193)</f>
        <v>25</v>
      </c>
      <c r="D187" s="360">
        <f t="shared" si="82"/>
        <v>25</v>
      </c>
      <c r="E187" s="360">
        <f t="shared" ref="E187" si="83">SUM(E188:E193)</f>
        <v>25</v>
      </c>
      <c r="F187" s="360">
        <v>25</v>
      </c>
      <c r="G187" s="360">
        <f t="shared" si="82"/>
        <v>25</v>
      </c>
      <c r="H187" s="360">
        <v>25</v>
      </c>
      <c r="I187" s="360">
        <f t="shared" si="82"/>
        <v>26</v>
      </c>
      <c r="J187" s="360">
        <f t="shared" si="82"/>
        <v>25</v>
      </c>
      <c r="K187" s="360">
        <f t="shared" si="82"/>
        <v>26</v>
      </c>
      <c r="L187" s="360">
        <f t="shared" si="82"/>
        <v>26</v>
      </c>
      <c r="M187" s="360">
        <f t="shared" si="82"/>
        <v>26</v>
      </c>
      <c r="N187" s="360"/>
      <c r="O187" s="360"/>
      <c r="P187" s="360"/>
      <c r="Q187" s="360"/>
      <c r="R187" s="360"/>
    </row>
    <row r="188" spans="1:19">
      <c r="A188" s="303" t="s">
        <v>250</v>
      </c>
      <c r="B188" s="335">
        <v>7</v>
      </c>
      <c r="C188" s="335">
        <v>7</v>
      </c>
      <c r="D188" s="335">
        <v>7</v>
      </c>
      <c r="E188" s="335">
        <v>7</v>
      </c>
      <c r="F188" s="335">
        <v>7</v>
      </c>
      <c r="G188" s="335">
        <v>7</v>
      </c>
      <c r="H188" s="335">
        <v>7</v>
      </c>
      <c r="I188" s="335">
        <v>7</v>
      </c>
      <c r="J188" s="335">
        <v>7</v>
      </c>
      <c r="K188" s="335">
        <v>7</v>
      </c>
      <c r="L188" s="335">
        <v>7</v>
      </c>
      <c r="M188" s="335">
        <v>7</v>
      </c>
      <c r="N188" s="335"/>
      <c r="O188" s="335"/>
      <c r="P188" s="335"/>
      <c r="Q188" s="335"/>
      <c r="R188" s="335"/>
      <c r="S188" s="318">
        <v>18</v>
      </c>
    </row>
    <row r="189" spans="1:19">
      <c r="A189" s="303" t="s">
        <v>251</v>
      </c>
      <c r="B189" s="335"/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18">
        <v>17</v>
      </c>
    </row>
    <row r="190" spans="1:19">
      <c r="A190" s="303" t="s">
        <v>252</v>
      </c>
      <c r="B190" s="335">
        <v>5</v>
      </c>
      <c r="C190" s="335">
        <v>5</v>
      </c>
      <c r="D190" s="335">
        <v>5</v>
      </c>
      <c r="E190" s="335">
        <v>5</v>
      </c>
      <c r="F190" s="335">
        <v>5</v>
      </c>
      <c r="G190" s="335">
        <v>5</v>
      </c>
      <c r="H190" s="335">
        <v>5</v>
      </c>
      <c r="I190" s="335">
        <v>5</v>
      </c>
      <c r="J190" s="335">
        <v>5</v>
      </c>
      <c r="K190" s="335">
        <v>5</v>
      </c>
      <c r="L190" s="335">
        <v>5</v>
      </c>
      <c r="M190" s="335">
        <v>5</v>
      </c>
      <c r="N190" s="335"/>
      <c r="O190" s="335"/>
      <c r="P190" s="335"/>
      <c r="Q190" s="335"/>
      <c r="R190" s="335"/>
      <c r="S190" s="318">
        <v>18</v>
      </c>
    </row>
    <row r="191" spans="1:19">
      <c r="A191" s="303" t="s">
        <v>251</v>
      </c>
      <c r="B191" s="335"/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  <c r="R191" s="335"/>
      <c r="S191" s="318">
        <v>17</v>
      </c>
    </row>
    <row r="192" spans="1:19">
      <c r="A192" s="303" t="s">
        <v>253</v>
      </c>
      <c r="B192" s="335">
        <v>13</v>
      </c>
      <c r="C192" s="335">
        <v>13</v>
      </c>
      <c r="D192" s="335">
        <v>13</v>
      </c>
      <c r="E192" s="335">
        <v>13</v>
      </c>
      <c r="F192" s="335">
        <v>13</v>
      </c>
      <c r="G192" s="335">
        <v>13</v>
      </c>
      <c r="H192" s="335">
        <v>13</v>
      </c>
      <c r="I192" s="335">
        <v>14</v>
      </c>
      <c r="J192" s="335">
        <v>13</v>
      </c>
      <c r="K192" s="335">
        <v>14</v>
      </c>
      <c r="L192" s="335">
        <v>14</v>
      </c>
      <c r="M192" s="335">
        <v>14</v>
      </c>
      <c r="N192" s="335"/>
      <c r="O192" s="335"/>
      <c r="P192" s="335"/>
      <c r="Q192" s="335"/>
      <c r="R192" s="302"/>
      <c r="S192" s="318">
        <v>18</v>
      </c>
    </row>
    <row r="193" spans="1:19">
      <c r="A193" s="303" t="s">
        <v>251</v>
      </c>
      <c r="B193" s="335"/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02"/>
      <c r="S193" s="318">
        <v>17</v>
      </c>
    </row>
    <row r="194" spans="1:19">
      <c r="A194" s="387" t="s">
        <v>318</v>
      </c>
      <c r="B194" s="335">
        <v>3</v>
      </c>
      <c r="C194" s="335">
        <v>3</v>
      </c>
      <c r="D194" s="335">
        <v>3</v>
      </c>
      <c r="E194" s="335">
        <v>3</v>
      </c>
      <c r="F194" s="335">
        <v>3</v>
      </c>
      <c r="G194" s="335">
        <v>3</v>
      </c>
      <c r="H194" s="335">
        <v>3</v>
      </c>
      <c r="I194" s="335">
        <v>3</v>
      </c>
      <c r="J194" s="335">
        <v>3</v>
      </c>
      <c r="K194" s="335">
        <v>3</v>
      </c>
      <c r="L194" s="335">
        <v>3</v>
      </c>
      <c r="M194" s="335">
        <v>3</v>
      </c>
      <c r="N194" s="335"/>
      <c r="O194" s="335"/>
      <c r="P194" s="335"/>
      <c r="Q194" s="335"/>
      <c r="R194" s="302"/>
      <c r="S194" s="318">
        <v>20</v>
      </c>
    </row>
    <row r="195" spans="1:19">
      <c r="A195" s="306" t="s">
        <v>254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02"/>
      <c r="S195" s="318">
        <v>19</v>
      </c>
    </row>
    <row r="196" spans="1:19">
      <c r="A196" s="388"/>
      <c r="B196" s="389"/>
      <c r="C196" s="389"/>
      <c r="D196" s="389"/>
      <c r="E196" s="389"/>
      <c r="F196" s="389"/>
      <c r="G196" s="389"/>
      <c r="H196" s="389"/>
      <c r="I196" s="390"/>
      <c r="J196" s="389"/>
      <c r="K196" s="389"/>
      <c r="L196" s="389"/>
      <c r="M196" s="389"/>
      <c r="N196" s="389"/>
      <c r="O196" s="389"/>
      <c r="P196" s="389"/>
      <c r="Q196" s="389"/>
      <c r="R196" s="302"/>
    </row>
    <row r="197" spans="1:19">
      <c r="A197" s="346" t="s">
        <v>255</v>
      </c>
      <c r="B197" s="391"/>
      <c r="C197" s="391"/>
      <c r="D197" s="391"/>
      <c r="E197" s="391"/>
      <c r="F197" s="391"/>
      <c r="G197" s="391"/>
      <c r="H197" s="391"/>
      <c r="I197" s="392"/>
      <c r="J197" s="391"/>
      <c r="K197" s="391"/>
      <c r="L197" s="393"/>
      <c r="M197" s="391"/>
      <c r="N197" s="391"/>
      <c r="O197" s="391"/>
      <c r="P197" s="391"/>
      <c r="Q197" s="391"/>
      <c r="R197" s="302"/>
    </row>
    <row r="198" spans="1:19">
      <c r="A198" s="330" t="s">
        <v>256</v>
      </c>
      <c r="B198" s="335">
        <v>3</v>
      </c>
      <c r="C198" s="335">
        <v>3</v>
      </c>
      <c r="D198" s="335">
        <v>3</v>
      </c>
      <c r="E198" s="335">
        <v>3</v>
      </c>
      <c r="F198" s="335">
        <v>3</v>
      </c>
      <c r="G198" s="335">
        <v>3</v>
      </c>
      <c r="H198" s="394">
        <v>3</v>
      </c>
      <c r="I198" s="394">
        <v>3</v>
      </c>
      <c r="J198" s="395">
        <v>3</v>
      </c>
      <c r="K198" s="395">
        <v>3</v>
      </c>
      <c r="L198" s="395">
        <v>3</v>
      </c>
      <c r="M198" s="395">
        <v>3</v>
      </c>
      <c r="N198" s="335"/>
      <c r="O198" s="335"/>
      <c r="P198" s="335"/>
      <c r="Q198" s="335"/>
      <c r="R198" s="302"/>
    </row>
    <row r="199" spans="1:19">
      <c r="A199" s="330" t="s">
        <v>257</v>
      </c>
      <c r="B199" s="335">
        <v>35</v>
      </c>
      <c r="C199" s="335">
        <v>30</v>
      </c>
      <c r="D199" s="335">
        <v>29</v>
      </c>
      <c r="E199" s="335">
        <v>22</v>
      </c>
      <c r="F199" s="335">
        <v>43</v>
      </c>
      <c r="G199" s="335">
        <v>35</v>
      </c>
      <c r="H199" s="394">
        <v>29</v>
      </c>
      <c r="I199" s="394">
        <v>28</v>
      </c>
      <c r="J199" s="395">
        <v>23</v>
      </c>
      <c r="K199" s="395">
        <v>16</v>
      </c>
      <c r="L199" s="395">
        <v>14</v>
      </c>
      <c r="M199" s="452">
        <v>30</v>
      </c>
      <c r="N199" s="335"/>
      <c r="O199" s="335"/>
      <c r="P199" s="335"/>
      <c r="Q199" s="335"/>
      <c r="R199" s="302"/>
    </row>
    <row r="200" spans="1:19">
      <c r="A200" s="330" t="s">
        <v>258</v>
      </c>
      <c r="B200" s="335">
        <v>35</v>
      </c>
      <c r="C200" s="335">
        <v>30</v>
      </c>
      <c r="D200" s="335">
        <v>29</v>
      </c>
      <c r="E200" s="335">
        <v>22</v>
      </c>
      <c r="F200" s="335">
        <v>43</v>
      </c>
      <c r="G200" s="335">
        <v>35</v>
      </c>
      <c r="H200" s="394">
        <v>29</v>
      </c>
      <c r="I200" s="394">
        <v>28</v>
      </c>
      <c r="J200" s="395">
        <v>23</v>
      </c>
      <c r="K200" s="395">
        <v>16</v>
      </c>
      <c r="L200" s="395">
        <v>14</v>
      </c>
      <c r="M200" s="452">
        <v>30</v>
      </c>
      <c r="N200" s="335"/>
      <c r="O200" s="335"/>
      <c r="P200" s="335"/>
      <c r="Q200" s="335"/>
      <c r="R200" s="302"/>
    </row>
    <row r="201" spans="1:19">
      <c r="A201" s="330" t="s">
        <v>259</v>
      </c>
      <c r="B201" s="335">
        <v>14</v>
      </c>
      <c r="C201" s="335">
        <v>14</v>
      </c>
      <c r="D201" s="335">
        <v>14</v>
      </c>
      <c r="E201" s="335">
        <v>14</v>
      </c>
      <c r="F201" s="335">
        <v>14</v>
      </c>
      <c r="G201" s="335">
        <v>14</v>
      </c>
      <c r="H201" s="394">
        <v>14</v>
      </c>
      <c r="I201" s="394">
        <v>0</v>
      </c>
      <c r="J201" s="395">
        <v>8</v>
      </c>
      <c r="K201" s="395">
        <v>32</v>
      </c>
      <c r="L201" s="395">
        <v>5</v>
      </c>
      <c r="M201" s="452">
        <v>7</v>
      </c>
      <c r="N201" s="335"/>
      <c r="O201" s="335"/>
      <c r="P201" s="335"/>
      <c r="Q201" s="335"/>
      <c r="R201" s="302"/>
    </row>
    <row r="202" spans="1:19">
      <c r="A202" s="330" t="s">
        <v>260</v>
      </c>
      <c r="B202" s="335">
        <v>64</v>
      </c>
      <c r="C202" s="335">
        <v>32</v>
      </c>
      <c r="D202" s="335">
        <v>35</v>
      </c>
      <c r="E202" s="335">
        <v>50</v>
      </c>
      <c r="F202" s="335">
        <v>39</v>
      </c>
      <c r="G202" s="335">
        <v>40</v>
      </c>
      <c r="H202" s="394">
        <v>64</v>
      </c>
      <c r="I202" s="394">
        <v>42</v>
      </c>
      <c r="J202" s="395">
        <v>57</v>
      </c>
      <c r="K202" s="395">
        <v>34</v>
      </c>
      <c r="L202" s="395">
        <v>17</v>
      </c>
      <c r="M202" s="452">
        <v>104</v>
      </c>
      <c r="N202" s="335"/>
      <c r="O202" s="335"/>
      <c r="P202" s="335"/>
      <c r="Q202" s="335"/>
      <c r="R202" s="302"/>
    </row>
    <row r="203" spans="1:19">
      <c r="A203" s="330" t="s">
        <v>261</v>
      </c>
      <c r="B203" s="335">
        <v>64</v>
      </c>
      <c r="C203" s="335">
        <v>32</v>
      </c>
      <c r="D203" s="335">
        <v>35</v>
      </c>
      <c r="E203" s="335">
        <v>50</v>
      </c>
      <c r="F203" s="335">
        <v>39</v>
      </c>
      <c r="G203" s="335">
        <v>40</v>
      </c>
      <c r="H203" s="394">
        <v>64</v>
      </c>
      <c r="I203" s="394">
        <v>42</v>
      </c>
      <c r="J203" s="395">
        <v>57</v>
      </c>
      <c r="K203" s="395">
        <v>34</v>
      </c>
      <c r="L203" s="395">
        <v>17</v>
      </c>
      <c r="M203" s="452">
        <v>104</v>
      </c>
      <c r="N203" s="335"/>
      <c r="O203" s="335"/>
      <c r="P203" s="335"/>
      <c r="Q203" s="335"/>
      <c r="R203" s="302"/>
    </row>
    <row r="204" spans="1:19">
      <c r="A204" s="330" t="s">
        <v>262</v>
      </c>
      <c r="B204" s="335">
        <f>+B112</f>
        <v>6897</v>
      </c>
      <c r="C204" s="335">
        <f>+C112</f>
        <v>6906</v>
      </c>
      <c r="D204" s="335">
        <f t="shared" ref="D204:L204" si="84">+D112</f>
        <v>6920</v>
      </c>
      <c r="E204" s="335">
        <f t="shared" ref="E204:G204" si="85">+E112</f>
        <v>6928</v>
      </c>
      <c r="F204" s="335">
        <f t="shared" si="85"/>
        <v>7187</v>
      </c>
      <c r="G204" s="335">
        <f t="shared" si="85"/>
        <v>7200</v>
      </c>
      <c r="H204" s="335">
        <f t="shared" si="84"/>
        <v>7203</v>
      </c>
      <c r="I204" s="335">
        <f t="shared" si="84"/>
        <v>7210</v>
      </c>
      <c r="J204" s="335">
        <f t="shared" si="84"/>
        <v>7220</v>
      </c>
      <c r="K204" s="335">
        <f t="shared" si="84"/>
        <v>7234</v>
      </c>
      <c r="L204" s="335">
        <f t="shared" si="84"/>
        <v>7233</v>
      </c>
      <c r="M204" s="335">
        <v>7250</v>
      </c>
      <c r="N204" s="335"/>
      <c r="O204" s="335"/>
      <c r="P204" s="335"/>
      <c r="Q204" s="335"/>
      <c r="R204" s="302"/>
      <c r="S204" s="318">
        <v>13</v>
      </c>
    </row>
    <row r="205" spans="1:19">
      <c r="A205" s="396" t="s">
        <v>263</v>
      </c>
      <c r="B205" s="397">
        <v>0</v>
      </c>
      <c r="C205" s="397">
        <v>0</v>
      </c>
      <c r="D205" s="397"/>
      <c r="E205" s="397"/>
      <c r="F205" s="397"/>
      <c r="G205" s="397"/>
      <c r="H205" s="398"/>
      <c r="I205" s="398"/>
      <c r="J205" s="398"/>
      <c r="K205" s="398"/>
      <c r="L205" s="398"/>
      <c r="M205" s="399"/>
      <c r="N205" s="397"/>
      <c r="O205" s="397"/>
      <c r="P205" s="397"/>
      <c r="Q205" s="397"/>
      <c r="R205" s="302"/>
    </row>
    <row r="208" spans="1:19">
      <c r="A208" s="400" t="s">
        <v>334</v>
      </c>
    </row>
    <row r="209" spans="1:1">
      <c r="A209" s="400" t="s">
        <v>335</v>
      </c>
    </row>
    <row r="212" spans="1:1">
      <c r="A212" s="400" t="s">
        <v>336</v>
      </c>
    </row>
  </sheetData>
  <mergeCells count="5">
    <mergeCell ref="A1:R1"/>
    <mergeCell ref="A3:R3"/>
    <mergeCell ref="A4:R4"/>
    <mergeCell ref="A6:R6"/>
    <mergeCell ref="A7:R7"/>
  </mergeCells>
  <printOptions horizontalCentered="1" verticalCentered="1"/>
  <pageMargins left="0.31496062992125984" right="0.31496062992125984" top="0.15748031496062992" bottom="0.15748031496062992" header="0.31496062992125984" footer="0.15748031496062992"/>
  <pageSetup scale="30" orientation="landscape" r:id="rId1"/>
  <rowBreaks count="1" manualBreakCount="1">
    <brk id="103" max="17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28"/>
  <sheetViews>
    <sheetView tabSelected="1" workbookViewId="0">
      <selection sqref="A1:O228"/>
    </sheetView>
  </sheetViews>
  <sheetFormatPr baseColWidth="10" defaultColWidth="11.42578125" defaultRowHeight="15"/>
  <cols>
    <col min="1" max="1" width="7.85546875" style="2" customWidth="1"/>
    <col min="2" max="2" width="21.42578125" style="3" customWidth="1"/>
    <col min="3" max="3" width="38.140625" style="2" customWidth="1"/>
    <col min="4" max="9" width="14" style="1" customWidth="1"/>
    <col min="10" max="10" width="13.85546875" style="1" customWidth="1"/>
    <col min="11" max="11" width="13.140625" style="1" customWidth="1"/>
    <col min="12" max="12" width="14.28515625" style="1" customWidth="1"/>
    <col min="13" max="13" width="14.42578125" style="1" customWidth="1"/>
    <col min="14" max="14" width="13" style="1" customWidth="1"/>
    <col min="15" max="15" width="13.5703125" style="1" customWidth="1"/>
    <col min="16" max="16" width="3.5703125" style="242" customWidth="1"/>
    <col min="17" max="16384" width="11.42578125" style="1"/>
  </cols>
  <sheetData>
    <row r="1" spans="1:16">
      <c r="A1" s="525" t="s">
        <v>319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6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6">
      <c r="A3" s="525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1:16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</row>
    <row r="5" spans="1:16" ht="15.75" thickBot="1"/>
    <row r="6" spans="1:16" s="7" customFormat="1" ht="15.75" thickBot="1">
      <c r="A6" s="4" t="s">
        <v>0</v>
      </c>
      <c r="B6" s="526" t="s">
        <v>1</v>
      </c>
      <c r="C6" s="527"/>
      <c r="D6" s="5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275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243"/>
    </row>
    <row r="7" spans="1:16">
      <c r="A7" s="463" t="s">
        <v>14</v>
      </c>
      <c r="B7" s="503" t="s">
        <v>15</v>
      </c>
      <c r="C7" s="237" t="s">
        <v>305</v>
      </c>
      <c r="D7" s="402">
        <f>PIGOO!B66</f>
        <v>153134</v>
      </c>
      <c r="E7" s="402">
        <f>PIGOO!C66</f>
        <v>138778</v>
      </c>
      <c r="F7" s="402">
        <f>PIGOO!D66</f>
        <v>157818</v>
      </c>
      <c r="G7" s="402">
        <f>PIGOO!E66</f>
        <v>152672</v>
      </c>
      <c r="H7" s="402">
        <f>PIGOO!F66</f>
        <v>155988</v>
      </c>
      <c r="I7" s="402">
        <f>PIGOO!G66</f>
        <v>168273</v>
      </c>
      <c r="J7" s="402">
        <f>PIGOO!H66</f>
        <v>170072</v>
      </c>
      <c r="K7" s="402">
        <f>PIGOO!I66</f>
        <v>164236</v>
      </c>
      <c r="L7" s="402">
        <f>PIGOO!J66</f>
        <v>158205</v>
      </c>
      <c r="M7" s="402">
        <f>PIGOO!K66</f>
        <v>147838</v>
      </c>
      <c r="N7" s="402">
        <v>119867</v>
      </c>
      <c r="O7" s="402">
        <v>129827</v>
      </c>
      <c r="P7" s="244">
        <v>1</v>
      </c>
    </row>
    <row r="8" spans="1:16" ht="15.75" thickBot="1">
      <c r="A8" s="464"/>
      <c r="B8" s="483"/>
      <c r="C8" s="156" t="s">
        <v>87</v>
      </c>
      <c r="D8" s="11">
        <v>118018</v>
      </c>
      <c r="E8" s="12">
        <v>109736</v>
      </c>
      <c r="F8" s="8">
        <v>112754</v>
      </c>
      <c r="G8" s="402">
        <v>127497</v>
      </c>
      <c r="H8" s="417">
        <v>143950</v>
      </c>
      <c r="I8" s="417"/>
      <c r="J8" s="8">
        <v>151611</v>
      </c>
      <c r="K8" s="13">
        <v>153342</v>
      </c>
      <c r="L8" s="12">
        <v>126112</v>
      </c>
      <c r="M8" s="12">
        <v>124640</v>
      </c>
      <c r="N8" s="454">
        <f>+[2]PIGOO!L67</f>
        <v>119867</v>
      </c>
      <c r="O8" s="8">
        <f>+[2]PIGOO!M67</f>
        <v>129827</v>
      </c>
    </row>
    <row r="9" spans="1:16">
      <c r="B9" s="483"/>
      <c r="C9" s="14" t="s">
        <v>306</v>
      </c>
      <c r="D9" s="15">
        <f>(D7/D8)-1</f>
        <v>0.29754783168669197</v>
      </c>
      <c r="E9" s="15">
        <f t="shared" ref="E9:F9" si="0">(E7/E8)-1</f>
        <v>0.26465334985784073</v>
      </c>
      <c r="F9" s="15">
        <f t="shared" si="0"/>
        <v>0.39966653067740388</v>
      </c>
      <c r="G9" s="15">
        <f t="shared" ref="G9" si="1">(G7/G8)-1</f>
        <v>0.19745562640689585</v>
      </c>
      <c r="H9" s="15">
        <f t="shared" ref="H9:I9" si="2">(H7/H8)-1</f>
        <v>8.3626259117749235E-2</v>
      </c>
      <c r="I9" s="15" t="e">
        <f t="shared" si="2"/>
        <v>#DIV/0!</v>
      </c>
      <c r="J9" s="15">
        <f t="shared" ref="J9:K9" si="3">(J7/J8)-1</f>
        <v>0.1217655710997223</v>
      </c>
      <c r="K9" s="15">
        <f t="shared" si="3"/>
        <v>7.104381056722886E-2</v>
      </c>
      <c r="L9" s="15">
        <f t="shared" ref="L9:M9" si="4">(L7/L8)-1</f>
        <v>0.25448014463334179</v>
      </c>
      <c r="M9" s="15">
        <f t="shared" si="4"/>
        <v>0.18612002567394104</v>
      </c>
      <c r="N9" s="15">
        <f t="shared" ref="N9:O9" si="5">(N7/N8)-1</f>
        <v>0</v>
      </c>
      <c r="O9" s="15">
        <f t="shared" si="5"/>
        <v>0</v>
      </c>
    </row>
    <row r="10" spans="1:16">
      <c r="B10" s="483"/>
      <c r="C10" s="10" t="s">
        <v>307</v>
      </c>
      <c r="D10" s="16">
        <f>(D11/D12)-1</f>
        <v>0.29754783168669197</v>
      </c>
      <c r="E10" s="16">
        <f t="shared" ref="E10:F10" si="6">(E11/E12)-1</f>
        <v>0.28169867488606126</v>
      </c>
      <c r="F10" s="16">
        <f t="shared" si="6"/>
        <v>0.32076192042477714</v>
      </c>
      <c r="G10" s="16">
        <f t="shared" ref="G10" si="7">(G11/G12)-1</f>
        <v>0.28717000886742672</v>
      </c>
      <c r="H10" s="16">
        <f t="shared" ref="H10:I10" si="8">(H11/H12)-1</f>
        <v>0.23929047070454534</v>
      </c>
      <c r="I10" s="16">
        <f t="shared" si="8"/>
        <v>0.51426657188845581</v>
      </c>
      <c r="J10" s="16">
        <f t="shared" ref="J10:K10" si="9">(J11/J12)-1</f>
        <v>0.43633294305927706</v>
      </c>
      <c r="K10" s="16">
        <f t="shared" si="9"/>
        <v>0.3752426633860757</v>
      </c>
      <c r="L10" s="16">
        <f t="shared" ref="L10:M10" si="10">(L11/L12)-1</f>
        <v>0.36064121493355827</v>
      </c>
      <c r="M10" s="16">
        <f t="shared" si="10"/>
        <v>0.34201222958737998</v>
      </c>
      <c r="N10" s="16">
        <f t="shared" ref="N10:O10" si="11">(N11/N12)-1</f>
        <v>0.31017135951323738</v>
      </c>
      <c r="O10" s="16">
        <f t="shared" si="11"/>
        <v>0.28176023773877246</v>
      </c>
    </row>
    <row r="11" spans="1:16">
      <c r="B11" s="483"/>
      <c r="C11" s="14" t="s">
        <v>308</v>
      </c>
      <c r="D11" s="9">
        <f>+D7</f>
        <v>153134</v>
      </c>
      <c r="E11" s="9">
        <f t="shared" ref="E11:O12" si="12">D11+E7</f>
        <v>291912</v>
      </c>
      <c r="F11" s="9">
        <f t="shared" si="12"/>
        <v>449730</v>
      </c>
      <c r="G11" s="9">
        <f t="shared" ref="G11:O11" si="13">F11+G7</f>
        <v>602402</v>
      </c>
      <c r="H11" s="9">
        <f t="shared" si="13"/>
        <v>758390</v>
      </c>
      <c r="I11" s="9">
        <f t="shared" si="13"/>
        <v>926663</v>
      </c>
      <c r="J11" s="9">
        <f t="shared" si="13"/>
        <v>1096735</v>
      </c>
      <c r="K11" s="9">
        <f t="shared" si="13"/>
        <v>1260971</v>
      </c>
      <c r="L11" s="9">
        <f t="shared" si="13"/>
        <v>1419176</v>
      </c>
      <c r="M11" s="9">
        <f t="shared" si="13"/>
        <v>1567014</v>
      </c>
      <c r="N11" s="9">
        <f t="shared" si="13"/>
        <v>1686881</v>
      </c>
      <c r="O11" s="9">
        <f t="shared" si="13"/>
        <v>1816708</v>
      </c>
    </row>
    <row r="12" spans="1:16" ht="15.75" thickBot="1">
      <c r="B12" s="512"/>
      <c r="C12" s="17" t="s">
        <v>88</v>
      </c>
      <c r="D12" s="12">
        <f>+D8</f>
        <v>118018</v>
      </c>
      <c r="E12" s="12">
        <f t="shared" si="12"/>
        <v>227754</v>
      </c>
      <c r="F12" s="12">
        <f t="shared" si="12"/>
        <v>340508</v>
      </c>
      <c r="G12" s="12">
        <f t="shared" si="12"/>
        <v>468005</v>
      </c>
      <c r="H12" s="12">
        <f t="shared" si="12"/>
        <v>611955</v>
      </c>
      <c r="I12" s="12">
        <f t="shared" si="12"/>
        <v>611955</v>
      </c>
      <c r="J12" s="12">
        <f t="shared" si="12"/>
        <v>763566</v>
      </c>
      <c r="K12" s="12">
        <f t="shared" si="12"/>
        <v>916908</v>
      </c>
      <c r="L12" s="12">
        <f t="shared" si="12"/>
        <v>1043020</v>
      </c>
      <c r="M12" s="12">
        <f t="shared" si="12"/>
        <v>1167660</v>
      </c>
      <c r="N12" s="12">
        <f t="shared" si="12"/>
        <v>1287527</v>
      </c>
      <c r="O12" s="12">
        <f t="shared" si="12"/>
        <v>1417354</v>
      </c>
    </row>
    <row r="13" spans="1:16" ht="15.75" thickBot="1">
      <c r="A13" s="463" t="s">
        <v>14</v>
      </c>
      <c r="B13" s="465" t="s">
        <v>17</v>
      </c>
      <c r="C13" s="249" t="s">
        <v>305</v>
      </c>
      <c r="D13" s="18">
        <v>93003</v>
      </c>
      <c r="E13" s="18">
        <f>PIGOO!C72</f>
        <v>77150</v>
      </c>
      <c r="F13" s="18">
        <f>PIGOO!D72</f>
        <v>81330</v>
      </c>
      <c r="G13" s="18">
        <f>PIGOO!E72</f>
        <v>93514</v>
      </c>
      <c r="H13" s="18">
        <f>PIGOO!F72</f>
        <v>95069</v>
      </c>
      <c r="I13" s="416">
        <f>PIGOO!G72</f>
        <v>100885</v>
      </c>
      <c r="J13" s="416">
        <f>PIGOO!H72</f>
        <v>103926</v>
      </c>
      <c r="K13" s="416">
        <f>PIGOO!I72</f>
        <v>99501</v>
      </c>
      <c r="L13" s="18">
        <f>PIGOO!J72</f>
        <v>89547</v>
      </c>
      <c r="M13" s="18">
        <f>PIGOO!K72</f>
        <v>76933</v>
      </c>
      <c r="N13" s="18">
        <v>90725</v>
      </c>
      <c r="O13" s="18">
        <v>89624</v>
      </c>
      <c r="P13" s="244">
        <v>2</v>
      </c>
    </row>
    <row r="14" spans="1:16" ht="15.75" thickBot="1">
      <c r="A14" s="464"/>
      <c r="B14" s="466"/>
      <c r="C14" s="158" t="s">
        <v>87</v>
      </c>
      <c r="D14" s="21">
        <v>91955</v>
      </c>
      <c r="E14" s="22">
        <v>77724</v>
      </c>
      <c r="F14" s="18">
        <v>61389</v>
      </c>
      <c r="G14" s="416">
        <v>93246</v>
      </c>
      <c r="H14" s="155">
        <v>100529</v>
      </c>
      <c r="I14" s="155">
        <v>105680</v>
      </c>
      <c r="J14" s="19">
        <v>116613</v>
      </c>
      <c r="K14" s="274">
        <v>113068</v>
      </c>
      <c r="L14" s="19">
        <v>111065</v>
      </c>
      <c r="M14" s="22">
        <v>97356</v>
      </c>
      <c r="N14" s="18">
        <f>+[2]PIGOO!L73</f>
        <v>74569</v>
      </c>
      <c r="O14" s="18">
        <f>+[2]PIGOO!M73</f>
        <v>73681</v>
      </c>
    </row>
    <row r="15" spans="1:16">
      <c r="B15" s="466"/>
      <c r="C15" s="14" t="s">
        <v>306</v>
      </c>
      <c r="D15" s="15">
        <f>(D13/D14)-1</f>
        <v>1.1396878908161545E-2</v>
      </c>
      <c r="E15" s="15">
        <f t="shared" ref="E15:F15" si="14">(E13/E14)-1</f>
        <v>-7.3851062734805462E-3</v>
      </c>
      <c r="F15" s="15">
        <f t="shared" si="14"/>
        <v>0.32483018130283936</v>
      </c>
      <c r="G15" s="15">
        <f t="shared" ref="G15" si="15">(G13/G14)-1</f>
        <v>2.8741179246294379E-3</v>
      </c>
      <c r="H15" s="15">
        <f t="shared" ref="H15:I15" si="16">(H13/H14)-1</f>
        <v>-5.4312685891633294E-2</v>
      </c>
      <c r="I15" s="15">
        <f t="shared" si="16"/>
        <v>-4.5372823618470837E-2</v>
      </c>
      <c r="J15" s="15">
        <f t="shared" ref="J15:K15" si="17">(J13/J14)-1</f>
        <v>-0.10879576033546856</v>
      </c>
      <c r="K15" s="15">
        <f t="shared" si="17"/>
        <v>-0.11998974068702017</v>
      </c>
      <c r="L15" s="15">
        <f t="shared" ref="L15:M15" si="18">(L13/L14)-1</f>
        <v>-0.19374240309728541</v>
      </c>
      <c r="M15" s="15">
        <f t="shared" si="18"/>
        <v>-0.20977649040634372</v>
      </c>
      <c r="N15" s="15">
        <f t="shared" ref="N15:O15" si="19">(N13/N14)-1</f>
        <v>0.21665839692097255</v>
      </c>
      <c r="O15" s="15">
        <f t="shared" si="19"/>
        <v>0.21637871364395167</v>
      </c>
    </row>
    <row r="16" spans="1:16">
      <c r="B16" s="466"/>
      <c r="C16" s="20" t="s">
        <v>307</v>
      </c>
      <c r="D16" s="24">
        <f>(D17/D18)-1</f>
        <v>1.1396878908161545E-2</v>
      </c>
      <c r="E16" s="24">
        <f t="shared" ref="E16:F16" si="20">(E17/E18)-1</f>
        <v>2.7935100984801675E-3</v>
      </c>
      <c r="F16" s="24">
        <f t="shared" si="20"/>
        <v>8.8350615403257837E-2</v>
      </c>
      <c r="G16" s="24">
        <f t="shared" ref="G16" si="21">(G17/G18)-1</f>
        <v>6.3774613491862864E-2</v>
      </c>
      <c r="H16" s="24">
        <f t="shared" ref="H16:I16" si="22">(H17/H18)-1</f>
        <v>3.58320603140454E-2</v>
      </c>
      <c r="I16" s="24">
        <f t="shared" si="22"/>
        <v>1.9656075231422543E-2</v>
      </c>
      <c r="J16" s="24">
        <f t="shared" ref="J16:K16" si="23">(J17/J18)-1</f>
        <v>-3.4907654650645492E-3</v>
      </c>
      <c r="K16" s="24">
        <f t="shared" si="23"/>
        <v>-2.0818096195231783E-2</v>
      </c>
      <c r="L16" s="24">
        <f t="shared" ref="L16:M16" si="24">(L17/L18)-1</f>
        <v>-4.2861619086642544E-2</v>
      </c>
      <c r="M16" s="24">
        <f t="shared" si="24"/>
        <v>-5.9638146857659002E-2</v>
      </c>
      <c r="N16" s="24">
        <f t="shared" ref="N16:O16" si="25">(N17/N18)-1</f>
        <v>-3.9888074509630944E-2</v>
      </c>
      <c r="O16" s="24">
        <f t="shared" si="25"/>
        <v>-2.2981980973698968E-2</v>
      </c>
    </row>
    <row r="17" spans="1:16">
      <c r="B17" s="466"/>
      <c r="C17" s="14" t="s">
        <v>308</v>
      </c>
      <c r="D17" s="9">
        <f>D13</f>
        <v>93003</v>
      </c>
      <c r="E17" s="9">
        <f t="shared" ref="E17:O18" si="26">D17+E13</f>
        <v>170153</v>
      </c>
      <c r="F17" s="9">
        <f t="shared" si="26"/>
        <v>251483</v>
      </c>
      <c r="G17" s="9">
        <f t="shared" si="26"/>
        <v>344997</v>
      </c>
      <c r="H17" s="9">
        <f t="shared" si="26"/>
        <v>440066</v>
      </c>
      <c r="I17" s="9">
        <f t="shared" si="26"/>
        <v>540951</v>
      </c>
      <c r="J17" s="9">
        <f t="shared" si="26"/>
        <v>644877</v>
      </c>
      <c r="K17" s="9">
        <f t="shared" si="26"/>
        <v>744378</v>
      </c>
      <c r="L17" s="9">
        <f t="shared" si="26"/>
        <v>833925</v>
      </c>
      <c r="M17" s="9">
        <f t="shared" si="26"/>
        <v>910858</v>
      </c>
      <c r="N17" s="9">
        <f t="shared" si="26"/>
        <v>1001583</v>
      </c>
      <c r="O17" s="9">
        <f t="shared" si="26"/>
        <v>1091207</v>
      </c>
    </row>
    <row r="18" spans="1:16" ht="15.75" thickBot="1">
      <c r="B18" s="467"/>
      <c r="C18" s="25" t="s">
        <v>88</v>
      </c>
      <c r="D18" s="22">
        <f>D14</f>
        <v>91955</v>
      </c>
      <c r="E18" s="22">
        <f t="shared" si="26"/>
        <v>169679</v>
      </c>
      <c r="F18" s="22">
        <f t="shared" si="26"/>
        <v>231068</v>
      </c>
      <c r="G18" s="22">
        <f t="shared" si="26"/>
        <v>324314</v>
      </c>
      <c r="H18" s="22">
        <f t="shared" si="26"/>
        <v>424843</v>
      </c>
      <c r="I18" s="22">
        <f t="shared" si="26"/>
        <v>530523</v>
      </c>
      <c r="J18" s="22">
        <f t="shared" si="26"/>
        <v>647136</v>
      </c>
      <c r="K18" s="22">
        <f t="shared" si="26"/>
        <v>760204</v>
      </c>
      <c r="L18" s="22">
        <f t="shared" si="26"/>
        <v>871269</v>
      </c>
      <c r="M18" s="22">
        <f t="shared" si="26"/>
        <v>968625</v>
      </c>
      <c r="N18" s="22">
        <f t="shared" si="26"/>
        <v>1043194</v>
      </c>
      <c r="O18" s="22">
        <f t="shared" si="26"/>
        <v>1116875</v>
      </c>
    </row>
    <row r="19" spans="1:16" ht="15" customHeight="1" thickBot="1">
      <c r="A19" s="463" t="s">
        <v>14</v>
      </c>
      <c r="B19" s="465" t="s">
        <v>18</v>
      </c>
      <c r="C19" s="249" t="s">
        <v>305</v>
      </c>
      <c r="D19" s="18">
        <v>3146</v>
      </c>
      <c r="E19" s="18">
        <f>PIGOO!C76+PIGOO!C77</f>
        <v>3117</v>
      </c>
      <c r="F19" s="18">
        <f>PIGOO!D76+PIGOO!D77</f>
        <v>4804</v>
      </c>
      <c r="G19" s="18">
        <f>PIGOO!E76+PIGOO!E77</f>
        <v>6230</v>
      </c>
      <c r="H19" s="18">
        <f>PIGOO!F76+PIGOO!F77</f>
        <v>6126</v>
      </c>
      <c r="I19" s="416">
        <f>PIGOO!G76+PIGOO!G77</f>
        <v>5758</v>
      </c>
      <c r="J19" s="416">
        <f>PIGOO!H76+PIGOO!H77</f>
        <v>6345</v>
      </c>
      <c r="K19" s="416">
        <f>PIGOO!I76+PIGOO!I77</f>
        <v>5600</v>
      </c>
      <c r="L19" s="18">
        <f>PIGOO!J76+PIGOO!J77</f>
        <v>7245</v>
      </c>
      <c r="M19" s="18">
        <f>PIGOO!K76+PIGOO!K77</f>
        <v>4385</v>
      </c>
      <c r="N19" s="18">
        <f>PIGOO!L76+PIGOO!L77</f>
        <v>4045</v>
      </c>
      <c r="O19" s="18">
        <f>PIGOO!M76+PIGOO!M77</f>
        <v>9281</v>
      </c>
      <c r="P19" s="244">
        <v>22</v>
      </c>
    </row>
    <row r="20" spans="1:16" ht="15.75" thickBot="1">
      <c r="A20" s="464"/>
      <c r="B20" s="466"/>
      <c r="C20" s="158" t="s">
        <v>87</v>
      </c>
      <c r="D20" s="21">
        <v>6456</v>
      </c>
      <c r="E20" s="22">
        <v>3370</v>
      </c>
      <c r="F20" s="22">
        <v>5846</v>
      </c>
      <c r="G20" s="411">
        <v>5977</v>
      </c>
      <c r="H20" s="155">
        <v>6245</v>
      </c>
      <c r="I20" s="155">
        <v>8229</v>
      </c>
      <c r="J20" s="19">
        <v>8300</v>
      </c>
      <c r="K20" s="23">
        <v>6903</v>
      </c>
      <c r="L20" s="19">
        <v>8692</v>
      </c>
      <c r="M20" s="22">
        <v>6862</v>
      </c>
      <c r="N20" s="22">
        <v>5623</v>
      </c>
      <c r="O20" s="22">
        <v>6411</v>
      </c>
    </row>
    <row r="21" spans="1:16">
      <c r="B21" s="466"/>
      <c r="C21" s="14" t="s">
        <v>306</v>
      </c>
      <c r="D21" s="15">
        <f>(D19/D20)-1</f>
        <v>-0.51270136307311032</v>
      </c>
      <c r="E21" s="15">
        <f t="shared" ref="E21:F21" si="27">(E19/E20)-1</f>
        <v>-7.5074183976261089E-2</v>
      </c>
      <c r="F21" s="15">
        <f t="shared" si="27"/>
        <v>-0.17824153267191245</v>
      </c>
      <c r="G21" s="15">
        <f t="shared" ref="G21" si="28">(G19/G20)-1</f>
        <v>4.2328927555630003E-2</v>
      </c>
      <c r="H21" s="15">
        <f t="shared" ref="H21:I21" si="29">(H19/H20)-1</f>
        <v>-1.9055244195356313E-2</v>
      </c>
      <c r="I21" s="15">
        <f t="shared" si="29"/>
        <v>-0.300279499331632</v>
      </c>
      <c r="J21" s="15">
        <f t="shared" ref="J21:K21" si="30">(J19/J20)-1</f>
        <v>-0.23554216867469879</v>
      </c>
      <c r="K21" s="15">
        <f t="shared" si="30"/>
        <v>-0.18875851079240913</v>
      </c>
      <c r="L21" s="15">
        <f t="shared" ref="L21:M21" si="31">(L19/L20)-1</f>
        <v>-0.16647491946617576</v>
      </c>
      <c r="M21" s="15">
        <f t="shared" si="31"/>
        <v>-0.36097347712037309</v>
      </c>
      <c r="N21" s="15">
        <f t="shared" ref="N21:O21" si="32">(N19/N20)-1</f>
        <v>-0.28063311399608748</v>
      </c>
      <c r="O21" s="15">
        <f t="shared" si="32"/>
        <v>0.44766807050382162</v>
      </c>
    </row>
    <row r="22" spans="1:16">
      <c r="B22" s="466"/>
      <c r="C22" s="20" t="s">
        <v>307</v>
      </c>
      <c r="D22" s="24">
        <f>(D23/D24)-1</f>
        <v>-0.51270136307311032</v>
      </c>
      <c r="E22" s="24">
        <f t="shared" ref="E22:F22" si="33">(E23/E24)-1</f>
        <v>-0.36260940362304095</v>
      </c>
      <c r="F22" s="24">
        <f t="shared" si="33"/>
        <v>-0.29383614088820831</v>
      </c>
      <c r="G22" s="24">
        <f t="shared" ref="G22" si="34">(G23/G24)-1</f>
        <v>-0.20102545152201023</v>
      </c>
      <c r="H22" s="24">
        <f t="shared" ref="H22:I22" si="35">(H23/H24)-1</f>
        <v>-0.1602853660285366</v>
      </c>
      <c r="I22" s="24">
        <f t="shared" si="35"/>
        <v>-0.19217672950751596</v>
      </c>
      <c r="J22" s="24">
        <f t="shared" ref="J22:K22" si="36">(J23/J24)-1</f>
        <v>-0.20027913468248426</v>
      </c>
      <c r="K22" s="24">
        <f t="shared" si="36"/>
        <v>-0.19872968865682106</v>
      </c>
      <c r="L22" s="24">
        <f t="shared" ref="L22:M22" si="37">(L23/L24)-1</f>
        <v>-0.19405844913192705</v>
      </c>
      <c r="M22" s="24">
        <f t="shared" si="37"/>
        <v>-0.21118421052631575</v>
      </c>
      <c r="N22" s="24">
        <f t="shared" ref="N22:O22" si="38">(N23/N24)-1</f>
        <v>-0.21657034881315251</v>
      </c>
      <c r="O22" s="24">
        <f t="shared" si="38"/>
        <v>-0.1626073953924525</v>
      </c>
    </row>
    <row r="23" spans="1:16">
      <c r="B23" s="466"/>
      <c r="C23" s="14" t="s">
        <v>308</v>
      </c>
      <c r="D23" s="9">
        <f>D19</f>
        <v>3146</v>
      </c>
      <c r="E23" s="9">
        <f t="shared" ref="E23:O24" si="39">D23+E19</f>
        <v>6263</v>
      </c>
      <c r="F23" s="9">
        <f t="shared" si="39"/>
        <v>11067</v>
      </c>
      <c r="G23" s="9">
        <f t="shared" si="39"/>
        <v>17297</v>
      </c>
      <c r="H23" s="9">
        <f t="shared" si="39"/>
        <v>23423</v>
      </c>
      <c r="I23" s="9">
        <f t="shared" si="39"/>
        <v>29181</v>
      </c>
      <c r="J23" s="9">
        <f t="shared" si="39"/>
        <v>35526</v>
      </c>
      <c r="K23" s="9">
        <f t="shared" si="39"/>
        <v>41126</v>
      </c>
      <c r="L23" s="9">
        <f t="shared" si="39"/>
        <v>48371</v>
      </c>
      <c r="M23" s="9">
        <f t="shared" si="39"/>
        <v>52756</v>
      </c>
      <c r="N23" s="9">
        <f t="shared" si="39"/>
        <v>56801</v>
      </c>
      <c r="O23" s="9">
        <f t="shared" si="39"/>
        <v>66082</v>
      </c>
    </row>
    <row r="24" spans="1:16" ht="15.75" thickBot="1">
      <c r="B24" s="467"/>
      <c r="C24" s="25" t="s">
        <v>88</v>
      </c>
      <c r="D24" s="22">
        <f>D20</f>
        <v>6456</v>
      </c>
      <c r="E24" s="22">
        <f t="shared" si="39"/>
        <v>9826</v>
      </c>
      <c r="F24" s="22">
        <f t="shared" si="39"/>
        <v>15672</v>
      </c>
      <c r="G24" s="22">
        <f t="shared" si="39"/>
        <v>21649</v>
      </c>
      <c r="H24" s="22">
        <f t="shared" si="39"/>
        <v>27894</v>
      </c>
      <c r="I24" s="22">
        <f t="shared" si="39"/>
        <v>36123</v>
      </c>
      <c r="J24" s="22">
        <f t="shared" si="39"/>
        <v>44423</v>
      </c>
      <c r="K24" s="22">
        <f t="shared" si="39"/>
        <v>51326</v>
      </c>
      <c r="L24" s="22">
        <f t="shared" si="39"/>
        <v>60018</v>
      </c>
      <c r="M24" s="22">
        <f t="shared" si="39"/>
        <v>66880</v>
      </c>
      <c r="N24" s="22">
        <f t="shared" si="39"/>
        <v>72503</v>
      </c>
      <c r="O24" s="22">
        <f t="shared" si="39"/>
        <v>78914</v>
      </c>
    </row>
    <row r="25" spans="1:16" ht="15" customHeight="1">
      <c r="A25" s="463" t="s">
        <v>14</v>
      </c>
      <c r="B25" s="465" t="s">
        <v>83</v>
      </c>
      <c r="C25" s="157" t="s">
        <v>305</v>
      </c>
      <c r="D25" s="18" t="s">
        <v>304</v>
      </c>
      <c r="E25" s="18" t="s">
        <v>304</v>
      </c>
      <c r="F25" s="18" t="s">
        <v>304</v>
      </c>
      <c r="G25" s="18" t="s">
        <v>304</v>
      </c>
      <c r="H25" s="19" t="s">
        <v>304</v>
      </c>
      <c r="I25" s="19" t="s">
        <v>304</v>
      </c>
      <c r="J25" s="19" t="s">
        <v>304</v>
      </c>
      <c r="K25" s="19" t="s">
        <v>304</v>
      </c>
      <c r="L25" s="19" t="s">
        <v>304</v>
      </c>
      <c r="M25" s="19" t="s">
        <v>304</v>
      </c>
      <c r="N25" s="19" t="s">
        <v>304</v>
      </c>
      <c r="O25" s="19" t="s">
        <v>304</v>
      </c>
    </row>
    <row r="26" spans="1:16" ht="15.75" thickBot="1">
      <c r="A26" s="464"/>
      <c r="B26" s="466"/>
      <c r="C26" s="158" t="s">
        <v>87</v>
      </c>
      <c r="D26" s="21" t="s">
        <v>304</v>
      </c>
      <c r="E26" s="21" t="s">
        <v>304</v>
      </c>
      <c r="F26" s="21" t="s">
        <v>304</v>
      </c>
      <c r="G26" s="21" t="s">
        <v>304</v>
      </c>
      <c r="H26" s="155" t="s">
        <v>304</v>
      </c>
      <c r="I26" s="155" t="s">
        <v>304</v>
      </c>
      <c r="J26" s="22" t="s">
        <v>304</v>
      </c>
      <c r="K26" s="22" t="s">
        <v>304</v>
      </c>
      <c r="L26" s="22" t="s">
        <v>304</v>
      </c>
      <c r="M26" s="22" t="s">
        <v>304</v>
      </c>
      <c r="N26" s="22" t="s">
        <v>304</v>
      </c>
      <c r="O26" s="22" t="s">
        <v>304</v>
      </c>
    </row>
    <row r="27" spans="1:16">
      <c r="B27" s="466"/>
      <c r="C27" s="14" t="s">
        <v>306</v>
      </c>
      <c r="D27" s="15" t="e">
        <f>(D25/D26)-1</f>
        <v>#VALUE!</v>
      </c>
      <c r="E27" s="15" t="e">
        <f t="shared" ref="E27:F27" si="40">(E25/E26)-1</f>
        <v>#VALUE!</v>
      </c>
      <c r="F27" s="15" t="e">
        <f t="shared" si="40"/>
        <v>#VALUE!</v>
      </c>
      <c r="G27" s="15" t="e">
        <f t="shared" ref="G27" si="41">(G25/G26)-1</f>
        <v>#VALUE!</v>
      </c>
      <c r="H27" s="15" t="e">
        <f t="shared" ref="H27:I27" si="42">(H25/H26)-1</f>
        <v>#VALUE!</v>
      </c>
      <c r="I27" s="15" t="e">
        <f t="shared" si="42"/>
        <v>#VALUE!</v>
      </c>
      <c r="J27" s="15" t="e">
        <f t="shared" ref="J27:K27" si="43">(J25/J26)-1</f>
        <v>#VALUE!</v>
      </c>
      <c r="K27" s="15" t="e">
        <f t="shared" si="43"/>
        <v>#VALUE!</v>
      </c>
      <c r="L27" s="15" t="e">
        <f t="shared" ref="L27:M27" si="44">(L25/L26)-1</f>
        <v>#VALUE!</v>
      </c>
      <c r="M27" s="15" t="e">
        <f t="shared" si="44"/>
        <v>#VALUE!</v>
      </c>
      <c r="N27" s="15" t="e">
        <f t="shared" ref="N27:O27" si="45">(N25/N26)-1</f>
        <v>#VALUE!</v>
      </c>
      <c r="O27" s="15" t="e">
        <f t="shared" si="45"/>
        <v>#VALUE!</v>
      </c>
    </row>
    <row r="28" spans="1:16">
      <c r="B28" s="466"/>
      <c r="C28" s="20" t="s">
        <v>307</v>
      </c>
      <c r="D28" s="24" t="e">
        <f>(D29/D30)-1</f>
        <v>#VALUE!</v>
      </c>
      <c r="E28" s="24" t="e">
        <f t="shared" ref="E28:F28" si="46">(E29/E30)-1</f>
        <v>#VALUE!</v>
      </c>
      <c r="F28" s="24" t="e">
        <f t="shared" si="46"/>
        <v>#VALUE!</v>
      </c>
      <c r="G28" s="24" t="e">
        <f t="shared" ref="G28" si="47">(G29/G30)-1</f>
        <v>#VALUE!</v>
      </c>
      <c r="H28" s="24" t="e">
        <f t="shared" ref="H28:I28" si="48">(H29/H30)-1</f>
        <v>#VALUE!</v>
      </c>
      <c r="I28" s="24" t="e">
        <f t="shared" si="48"/>
        <v>#VALUE!</v>
      </c>
      <c r="J28" s="24" t="e">
        <f t="shared" ref="J28:K28" si="49">(J29/J30)-1</f>
        <v>#VALUE!</v>
      </c>
      <c r="K28" s="24" t="e">
        <f t="shared" si="49"/>
        <v>#VALUE!</v>
      </c>
      <c r="L28" s="24" t="e">
        <f t="shared" ref="L28:M28" si="50">(L29/L30)-1</f>
        <v>#VALUE!</v>
      </c>
      <c r="M28" s="24" t="e">
        <f t="shared" si="50"/>
        <v>#VALUE!</v>
      </c>
      <c r="N28" s="24" t="e">
        <f t="shared" ref="N28:O28" si="51">(N29/N30)-1</f>
        <v>#VALUE!</v>
      </c>
      <c r="O28" s="24" t="e">
        <f t="shared" si="51"/>
        <v>#VALUE!</v>
      </c>
    </row>
    <row r="29" spans="1:16">
      <c r="B29" s="466"/>
      <c r="C29" s="14" t="s">
        <v>308</v>
      </c>
      <c r="D29" s="9" t="str">
        <f>D25</f>
        <v>na</v>
      </c>
      <c r="E29" s="9" t="e">
        <f t="shared" ref="E29:O30" si="52">D29+E25</f>
        <v>#VALUE!</v>
      </c>
      <c r="F29" s="9" t="e">
        <f t="shared" si="52"/>
        <v>#VALUE!</v>
      </c>
      <c r="G29" s="9" t="e">
        <f t="shared" si="52"/>
        <v>#VALUE!</v>
      </c>
      <c r="H29" s="9" t="e">
        <f t="shared" si="52"/>
        <v>#VALUE!</v>
      </c>
      <c r="I29" s="9" t="e">
        <f t="shared" si="52"/>
        <v>#VALUE!</v>
      </c>
      <c r="J29" s="9" t="e">
        <f t="shared" si="52"/>
        <v>#VALUE!</v>
      </c>
      <c r="K29" s="9" t="e">
        <f t="shared" si="52"/>
        <v>#VALUE!</v>
      </c>
      <c r="L29" s="9" t="e">
        <f t="shared" si="52"/>
        <v>#VALUE!</v>
      </c>
      <c r="M29" s="9" t="e">
        <f t="shared" si="52"/>
        <v>#VALUE!</v>
      </c>
      <c r="N29" s="9" t="e">
        <f t="shared" si="52"/>
        <v>#VALUE!</v>
      </c>
      <c r="O29" s="9" t="e">
        <f t="shared" si="52"/>
        <v>#VALUE!</v>
      </c>
    </row>
    <row r="30" spans="1:16" ht="15.75" thickBot="1">
      <c r="B30" s="467"/>
      <c r="C30" s="25" t="s">
        <v>88</v>
      </c>
      <c r="D30" s="22" t="str">
        <f>D26</f>
        <v>na</v>
      </c>
      <c r="E30" s="22" t="e">
        <f t="shared" si="52"/>
        <v>#VALUE!</v>
      </c>
      <c r="F30" s="22" t="e">
        <f t="shared" si="52"/>
        <v>#VALUE!</v>
      </c>
      <c r="G30" s="22" t="e">
        <f t="shared" si="52"/>
        <v>#VALUE!</v>
      </c>
      <c r="H30" s="22" t="e">
        <f t="shared" si="52"/>
        <v>#VALUE!</v>
      </c>
      <c r="I30" s="22" t="e">
        <f t="shared" si="52"/>
        <v>#VALUE!</v>
      </c>
      <c r="J30" s="22" t="e">
        <f t="shared" si="52"/>
        <v>#VALUE!</v>
      </c>
      <c r="K30" s="22" t="e">
        <f t="shared" si="52"/>
        <v>#VALUE!</v>
      </c>
      <c r="L30" s="22" t="e">
        <f t="shared" si="52"/>
        <v>#VALUE!</v>
      </c>
      <c r="M30" s="22" t="e">
        <f t="shared" si="52"/>
        <v>#VALUE!</v>
      </c>
      <c r="N30" s="22" t="e">
        <f t="shared" si="52"/>
        <v>#VALUE!</v>
      </c>
      <c r="O30" s="22" t="e">
        <f t="shared" si="52"/>
        <v>#VALUE!</v>
      </c>
    </row>
    <row r="31" spans="1:16" ht="15.75">
      <c r="A31" s="175"/>
      <c r="B31" s="473" t="s">
        <v>19</v>
      </c>
      <c r="C31" s="29" t="s">
        <v>20</v>
      </c>
      <c r="D31" s="30" t="e">
        <f>(D13+D25)/D7</f>
        <v>#VALUE!</v>
      </c>
      <c r="E31" s="30" t="e">
        <f t="shared" ref="E31:F31" si="53">(E13+E25)/E7</f>
        <v>#VALUE!</v>
      </c>
      <c r="F31" s="30" t="e">
        <f t="shared" si="53"/>
        <v>#VALUE!</v>
      </c>
      <c r="G31" s="30" t="e">
        <f t="shared" ref="G31" si="54">(G13+G25)/G7</f>
        <v>#VALUE!</v>
      </c>
      <c r="H31" s="30" t="e">
        <f t="shared" ref="H31:I31" si="55">(H13+H25)/H7</f>
        <v>#VALUE!</v>
      </c>
      <c r="I31" s="30" t="e">
        <f t="shared" si="55"/>
        <v>#VALUE!</v>
      </c>
      <c r="J31" s="30" t="e">
        <f t="shared" ref="J31:K31" si="56">(J13+J25)/J7</f>
        <v>#VALUE!</v>
      </c>
      <c r="K31" s="30" t="e">
        <f t="shared" si="56"/>
        <v>#VALUE!</v>
      </c>
      <c r="L31" s="30" t="e">
        <f t="shared" ref="L31:M31" si="57">(L13+L25)/L7</f>
        <v>#VALUE!</v>
      </c>
      <c r="M31" s="30" t="e">
        <f t="shared" si="57"/>
        <v>#VALUE!</v>
      </c>
      <c r="N31" s="30" t="e">
        <f t="shared" ref="N31:O31" si="58">(N13+N25)/N7</f>
        <v>#VALUE!</v>
      </c>
      <c r="O31" s="30" t="e">
        <f t="shared" si="58"/>
        <v>#VALUE!</v>
      </c>
    </row>
    <row r="32" spans="1:16" ht="15.75">
      <c r="A32" s="176"/>
      <c r="B32" s="474"/>
      <c r="C32" s="31" t="s">
        <v>320</v>
      </c>
      <c r="D32" s="32" t="e">
        <f>(D17+D29)/D11</f>
        <v>#VALUE!</v>
      </c>
      <c r="E32" s="32" t="e">
        <f t="shared" ref="E32:F33" si="59">(E17+E29)/E11</f>
        <v>#VALUE!</v>
      </c>
      <c r="F32" s="32" t="e">
        <f t="shared" si="59"/>
        <v>#VALUE!</v>
      </c>
      <c r="G32" s="32" t="e">
        <f t="shared" ref="G32" si="60">(G17+G29)/G11</f>
        <v>#VALUE!</v>
      </c>
      <c r="H32" s="32" t="e">
        <f t="shared" ref="H32:I32" si="61">(H17+H29)/H11</f>
        <v>#VALUE!</v>
      </c>
      <c r="I32" s="32" t="e">
        <f t="shared" si="61"/>
        <v>#VALUE!</v>
      </c>
      <c r="J32" s="32" t="e">
        <f t="shared" ref="J32:K32" si="62">(J17+J29)/J11</f>
        <v>#VALUE!</v>
      </c>
      <c r="K32" s="32" t="e">
        <f t="shared" si="62"/>
        <v>#VALUE!</v>
      </c>
      <c r="L32" s="32" t="e">
        <f t="shared" ref="L32:M32" si="63">(L17+L29)/L11</f>
        <v>#VALUE!</v>
      </c>
      <c r="M32" s="32" t="e">
        <f t="shared" si="63"/>
        <v>#VALUE!</v>
      </c>
      <c r="N32" s="32" t="e">
        <f t="shared" ref="N32:O32" si="64">(N17+N29)/N11</f>
        <v>#VALUE!</v>
      </c>
      <c r="O32" s="32" t="e">
        <f t="shared" si="64"/>
        <v>#VALUE!</v>
      </c>
    </row>
    <row r="33" spans="1:16" ht="16.5" thickBot="1">
      <c r="A33" s="177"/>
      <c r="B33" s="475"/>
      <c r="C33" s="33" t="s">
        <v>89</v>
      </c>
      <c r="D33" s="34" t="e">
        <f>(D18+D30)/D12</f>
        <v>#VALUE!</v>
      </c>
      <c r="E33" s="34" t="e">
        <f t="shared" si="59"/>
        <v>#VALUE!</v>
      </c>
      <c r="F33" s="34" t="e">
        <f t="shared" si="59"/>
        <v>#VALUE!</v>
      </c>
      <c r="G33" s="34" t="e">
        <f t="shared" ref="G33:H33" si="65">(G18+G30)/G12</f>
        <v>#VALUE!</v>
      </c>
      <c r="H33" s="34" t="e">
        <f t="shared" si="65"/>
        <v>#VALUE!</v>
      </c>
      <c r="I33" s="34" t="e">
        <f t="shared" ref="I33:J33" si="66">(I18+I30)/I12</f>
        <v>#VALUE!</v>
      </c>
      <c r="J33" s="34" t="e">
        <f t="shared" si="66"/>
        <v>#VALUE!</v>
      </c>
      <c r="K33" s="34" t="e">
        <f t="shared" ref="K33:L33" si="67">(K18+K30)/K12</f>
        <v>#VALUE!</v>
      </c>
      <c r="L33" s="34" t="e">
        <f t="shared" si="67"/>
        <v>#VALUE!</v>
      </c>
      <c r="M33" s="34" t="e">
        <f t="shared" ref="M33:N33" si="68">(M18+M30)/M12</f>
        <v>#VALUE!</v>
      </c>
      <c r="N33" s="34" t="e">
        <f t="shared" si="68"/>
        <v>#VALUE!</v>
      </c>
      <c r="O33" s="34" t="e">
        <f t="shared" ref="O33" si="69">(O18+O30)/O12</f>
        <v>#VALUE!</v>
      </c>
    </row>
    <row r="34" spans="1:16" ht="15.75" customHeight="1" thickBot="1">
      <c r="A34" s="463" t="s">
        <v>14</v>
      </c>
      <c r="B34" s="470" t="s">
        <v>264</v>
      </c>
      <c r="C34" s="250" t="s">
        <v>305</v>
      </c>
      <c r="D34" s="238">
        <v>57134</v>
      </c>
      <c r="E34" s="238">
        <f>PIGOO!C81</f>
        <v>52984</v>
      </c>
      <c r="F34" s="238">
        <f>PIGOO!D81</f>
        <v>56959</v>
      </c>
      <c r="G34" s="238">
        <f>PIGOO!E81</f>
        <v>56501</v>
      </c>
      <c r="H34" s="238">
        <f>PIGOO!F81</f>
        <v>63706</v>
      </c>
      <c r="I34" s="429">
        <f>PIGOO!G81</f>
        <v>49674</v>
      </c>
      <c r="J34" s="429">
        <f>PIGOO!H81</f>
        <v>65136</v>
      </c>
      <c r="K34" s="429">
        <f>PIGOO!I81</f>
        <v>56927</v>
      </c>
      <c r="L34" s="238">
        <f>PIGOO!J81</f>
        <v>46663</v>
      </c>
      <c r="M34" s="238">
        <f>PIGOO!K81</f>
        <v>48118</v>
      </c>
      <c r="N34" s="238">
        <f>PIGOO!L81</f>
        <v>36386</v>
      </c>
      <c r="O34" s="238">
        <f>PIGOO!M81</f>
        <v>76877</v>
      </c>
      <c r="P34" s="244">
        <v>3</v>
      </c>
    </row>
    <row r="35" spans="1:16" ht="15.75" thickBot="1">
      <c r="A35" s="464"/>
      <c r="B35" s="471"/>
      <c r="C35" s="187" t="s">
        <v>87</v>
      </c>
      <c r="D35" s="182">
        <v>56860</v>
      </c>
      <c r="E35" s="181">
        <v>49799</v>
      </c>
      <c r="F35" s="181">
        <v>54850</v>
      </c>
      <c r="G35" s="415">
        <v>54850</v>
      </c>
      <c r="H35" s="415">
        <v>55089</v>
      </c>
      <c r="I35" s="415">
        <v>62016</v>
      </c>
      <c r="J35" s="181">
        <v>77488</v>
      </c>
      <c r="K35" s="181">
        <v>66797</v>
      </c>
      <c r="L35" s="178">
        <v>60600</v>
      </c>
      <c r="M35" s="181">
        <v>69919</v>
      </c>
      <c r="N35" s="181">
        <v>47411</v>
      </c>
      <c r="O35" s="181">
        <v>68809</v>
      </c>
    </row>
    <row r="36" spans="1:16">
      <c r="B36" s="471"/>
      <c r="C36" s="179" t="s">
        <v>306</v>
      </c>
      <c r="D36" s="185">
        <f>(D34/D35)-1</f>
        <v>4.818853323953487E-3</v>
      </c>
      <c r="E36" s="185">
        <f t="shared" ref="E36:F36" si="70">(E34/E35)-1</f>
        <v>6.3957107572441219E-2</v>
      </c>
      <c r="F36" s="185">
        <f t="shared" si="70"/>
        <v>3.8450319051959836E-2</v>
      </c>
      <c r="G36" s="185">
        <f t="shared" ref="G36" si="71">(G34/G35)-1</f>
        <v>3.0100273473108397E-2</v>
      </c>
      <c r="H36" s="185">
        <f t="shared" ref="H36:I36" si="72">(H34/H35)-1</f>
        <v>0.15641961190074238</v>
      </c>
      <c r="I36" s="185">
        <f t="shared" si="72"/>
        <v>-0.19901315789473684</v>
      </c>
      <c r="J36" s="185">
        <f t="shared" ref="J36:K36" si="73">(J34/J35)-1</f>
        <v>-0.15940532727648149</v>
      </c>
      <c r="K36" s="185">
        <f t="shared" si="73"/>
        <v>-0.14776112699672139</v>
      </c>
      <c r="L36" s="185">
        <f t="shared" ref="L36:M36" si="74">(L34/L35)-1</f>
        <v>-0.229983498349835</v>
      </c>
      <c r="M36" s="185">
        <f t="shared" si="74"/>
        <v>-0.3118036585191436</v>
      </c>
      <c r="N36" s="185">
        <f t="shared" ref="N36:O36" si="75">(N34/N35)-1</f>
        <v>-0.23254097150450315</v>
      </c>
      <c r="O36" s="185">
        <f t="shared" si="75"/>
        <v>0.117252103649232</v>
      </c>
    </row>
    <row r="37" spans="1:16">
      <c r="B37" s="471"/>
      <c r="C37" s="181" t="s">
        <v>307</v>
      </c>
      <c r="D37" s="152">
        <f>(D38/D39)-1</f>
        <v>4.818853323953487E-3</v>
      </c>
      <c r="E37" s="152">
        <f t="shared" ref="E37:F37" si="76">(E38/E39)-1</f>
        <v>3.2430455939020719E-2</v>
      </c>
      <c r="F37" s="152">
        <f t="shared" si="76"/>
        <v>3.4474858986186518E-2</v>
      </c>
      <c r="G37" s="152">
        <f t="shared" ref="G37" si="77">(G38/G39)-1</f>
        <v>3.3365841032727994E-2</v>
      </c>
      <c r="H37" s="152">
        <f t="shared" ref="H37:I37" si="78">(H38/H39)-1</f>
        <v>5.8338982051810984E-2</v>
      </c>
      <c r="I37" s="152">
        <f t="shared" si="78"/>
        <v>1.0477892666074906E-2</v>
      </c>
      <c r="J37" s="152">
        <f t="shared" ref="J37:K37" si="79">(J38/J39)-1</f>
        <v>-2.1554828787790248E-2</v>
      </c>
      <c r="K37" s="152">
        <f t="shared" si="79"/>
        <v>-3.9200500681320083E-2</v>
      </c>
      <c r="L37" s="152">
        <f t="shared" ref="L37:M37" si="80">(L38/L39)-1</f>
        <v>-6.0676252765399452E-2</v>
      </c>
      <c r="M37" s="152">
        <f t="shared" si="80"/>
        <v>-8.9542767332820405E-2</v>
      </c>
      <c r="N37" s="152">
        <f t="shared" ref="N37:O37" si="81">(N38/N39)-1</f>
        <v>-9.9882717000239429E-2</v>
      </c>
      <c r="O37" s="152">
        <f t="shared" si="81"/>
        <v>-7.9260111968728286E-2</v>
      </c>
    </row>
    <row r="38" spans="1:16">
      <c r="B38" s="471"/>
      <c r="C38" s="179" t="s">
        <v>308</v>
      </c>
      <c r="D38" s="180">
        <f>+D34</f>
        <v>57134</v>
      </c>
      <c r="E38" s="179">
        <f t="shared" ref="E38:O39" si="82">+D38+E34</f>
        <v>110118</v>
      </c>
      <c r="F38" s="179">
        <f t="shared" si="82"/>
        <v>167077</v>
      </c>
      <c r="G38" s="179">
        <f t="shared" si="82"/>
        <v>223578</v>
      </c>
      <c r="H38" s="179">
        <f t="shared" si="82"/>
        <v>287284</v>
      </c>
      <c r="I38" s="179">
        <f t="shared" si="82"/>
        <v>336958</v>
      </c>
      <c r="J38" s="179">
        <f t="shared" si="82"/>
        <v>402094</v>
      </c>
      <c r="K38" s="179">
        <f t="shared" si="82"/>
        <v>459021</v>
      </c>
      <c r="L38" s="179">
        <f t="shared" si="82"/>
        <v>505684</v>
      </c>
      <c r="M38" s="179">
        <f t="shared" si="82"/>
        <v>553802</v>
      </c>
      <c r="N38" s="179">
        <f t="shared" si="82"/>
        <v>590188</v>
      </c>
      <c r="O38" s="179">
        <f t="shared" si="82"/>
        <v>667065</v>
      </c>
    </row>
    <row r="39" spans="1:16" ht="15.75" thickBot="1">
      <c r="B39" s="471"/>
      <c r="C39" s="181" t="s">
        <v>88</v>
      </c>
      <c r="D39" s="183">
        <f>+D35</f>
        <v>56860</v>
      </c>
      <c r="E39" s="181">
        <f t="shared" si="82"/>
        <v>106659</v>
      </c>
      <c r="F39" s="181">
        <f t="shared" si="82"/>
        <v>161509</v>
      </c>
      <c r="G39" s="181">
        <f t="shared" si="82"/>
        <v>216359</v>
      </c>
      <c r="H39" s="181">
        <f t="shared" si="82"/>
        <v>271448</v>
      </c>
      <c r="I39" s="181">
        <f t="shared" si="82"/>
        <v>333464</v>
      </c>
      <c r="J39" s="181">
        <f t="shared" si="82"/>
        <v>410952</v>
      </c>
      <c r="K39" s="181">
        <f t="shared" si="82"/>
        <v>477749</v>
      </c>
      <c r="L39" s="181">
        <f t="shared" si="82"/>
        <v>538349</v>
      </c>
      <c r="M39" s="181">
        <f t="shared" si="82"/>
        <v>608268</v>
      </c>
      <c r="N39" s="181">
        <f t="shared" si="82"/>
        <v>655679</v>
      </c>
      <c r="O39" s="181">
        <f t="shared" si="82"/>
        <v>724488</v>
      </c>
    </row>
    <row r="40" spans="1:16" ht="15" customHeight="1">
      <c r="B40" s="470" t="s">
        <v>265</v>
      </c>
      <c r="C40" s="250" t="s">
        <v>305</v>
      </c>
      <c r="D40" s="238">
        <v>9967</v>
      </c>
      <c r="E40" s="238">
        <f>PIGOO!C82</f>
        <v>7736</v>
      </c>
      <c r="F40" s="238">
        <f>PIGOO!D82</f>
        <v>9533</v>
      </c>
      <c r="G40" s="238">
        <f>PIGOO!E82</f>
        <v>7928</v>
      </c>
      <c r="H40" s="238">
        <f>PIGOO!F82</f>
        <v>9457</v>
      </c>
      <c r="I40" s="429">
        <f>PIGOO!G82</f>
        <v>7895</v>
      </c>
      <c r="J40" s="429">
        <f>PIGOO!H82</f>
        <v>9804</v>
      </c>
      <c r="K40" s="429">
        <f>PIGOO!I82</f>
        <v>9405</v>
      </c>
      <c r="L40" s="238">
        <f>PIGOO!J82</f>
        <v>8800</v>
      </c>
      <c r="M40" s="238">
        <f>PIGOO!K82</f>
        <v>7914</v>
      </c>
      <c r="N40" s="238">
        <f>PIGOO!L82</f>
        <v>8336</v>
      </c>
      <c r="O40" s="238">
        <f>PIGOO!M82</f>
        <v>8227</v>
      </c>
      <c r="P40" s="244">
        <v>4</v>
      </c>
    </row>
    <row r="41" spans="1:16">
      <c r="B41" s="471"/>
      <c r="C41" s="187" t="s">
        <v>87</v>
      </c>
      <c r="D41" s="182">
        <v>11644</v>
      </c>
      <c r="E41" s="181">
        <v>9538</v>
      </c>
      <c r="F41" s="181">
        <v>7930</v>
      </c>
      <c r="G41" s="415">
        <v>7930</v>
      </c>
      <c r="H41" s="415">
        <v>10296</v>
      </c>
      <c r="I41" s="415">
        <v>9480</v>
      </c>
      <c r="J41" s="181">
        <v>12755</v>
      </c>
      <c r="K41" s="181">
        <v>9616</v>
      </c>
      <c r="L41" s="181">
        <v>10551</v>
      </c>
      <c r="M41" s="181">
        <v>10265</v>
      </c>
      <c r="N41" s="181">
        <v>4102</v>
      </c>
      <c r="O41" s="451">
        <v>8601</v>
      </c>
    </row>
    <row r="42" spans="1:16">
      <c r="B42" s="471"/>
      <c r="C42" s="179" t="s">
        <v>306</v>
      </c>
      <c r="D42" s="185">
        <f>(D40/D41)-1</f>
        <v>-0.14402267262109236</v>
      </c>
      <c r="E42" s="185">
        <f t="shared" ref="E42:F42" si="83">(E40/E41)-1</f>
        <v>-0.1889284965401552</v>
      </c>
      <c r="F42" s="185">
        <f t="shared" si="83"/>
        <v>0.20214375788146288</v>
      </c>
      <c r="G42" s="185">
        <f t="shared" ref="G42" si="84">(G40/G41)-1</f>
        <v>-2.5220680958382147E-4</v>
      </c>
      <c r="H42" s="185">
        <f t="shared" ref="H42:I42" si="85">(H40/H41)-1</f>
        <v>-8.1487956487956481E-2</v>
      </c>
      <c r="I42" s="185">
        <f t="shared" si="85"/>
        <v>-0.16719409282700426</v>
      </c>
      <c r="J42" s="185">
        <f t="shared" ref="J42:K42" si="86">(J40/J41)-1</f>
        <v>-0.23136025088200707</v>
      </c>
      <c r="K42" s="185">
        <f t="shared" si="86"/>
        <v>-2.1942595673876908E-2</v>
      </c>
      <c r="L42" s="185">
        <f t="shared" ref="L42:M42" si="87">(L40/L41)-1</f>
        <v>-0.16595583357027766</v>
      </c>
      <c r="M42" s="185">
        <f t="shared" si="87"/>
        <v>-0.22903068679980521</v>
      </c>
      <c r="N42" s="185">
        <f t="shared" ref="N42:O42" si="88">(N40/N41)-1</f>
        <v>1.0321794246708924</v>
      </c>
      <c r="O42" s="185">
        <f t="shared" si="88"/>
        <v>-4.348331589350074E-2</v>
      </c>
    </row>
    <row r="43" spans="1:16">
      <c r="B43" s="471"/>
      <c r="C43" s="181" t="s">
        <v>307</v>
      </c>
      <c r="D43" s="152">
        <f>(D44/D45)-1</f>
        <v>-0.14402267262109236</v>
      </c>
      <c r="E43" s="152">
        <f t="shared" ref="E43:F43" si="89">(E44/E45)-1</f>
        <v>-0.16424322538003966</v>
      </c>
      <c r="F43" s="152">
        <f t="shared" si="89"/>
        <v>-6.4440780434185219E-2</v>
      </c>
      <c r="G43" s="152">
        <f t="shared" ref="G43" si="90">(G44/G45)-1</f>
        <v>-5.0699206306354938E-2</v>
      </c>
      <c r="H43" s="152">
        <f t="shared" ref="H43:I43" si="91">(H44/H45)-1</f>
        <v>-5.7395749714816868E-2</v>
      </c>
      <c r="I43" s="152">
        <f t="shared" si="91"/>
        <v>-7.5715442289415291E-2</v>
      </c>
      <c r="J43" s="152">
        <f t="shared" ref="J43:K43" si="92">(J44/J45)-1</f>
        <v>-0.10425021200753171</v>
      </c>
      <c r="K43" s="152">
        <f t="shared" si="92"/>
        <v>-9.4255515286214009E-2</v>
      </c>
      <c r="L43" s="152">
        <f t="shared" ref="L43:M43" si="93">(L44/L45)-1</f>
        <v>-0.10268553599286834</v>
      </c>
      <c r="M43" s="152">
        <f t="shared" si="93"/>
        <v>-0.1156542172891355</v>
      </c>
      <c r="N43" s="152">
        <f t="shared" ref="N43:O43" si="94">(N44/N45)-1</f>
        <v>-7.0427540895424912E-2</v>
      </c>
      <c r="O43" s="152">
        <f t="shared" si="94"/>
        <v>-6.8371366717535631E-2</v>
      </c>
    </row>
    <row r="44" spans="1:16">
      <c r="B44" s="471"/>
      <c r="C44" s="179" t="s">
        <v>308</v>
      </c>
      <c r="D44" s="180">
        <f>+D40</f>
        <v>9967</v>
      </c>
      <c r="E44" s="179">
        <f t="shared" ref="E44:O45" si="95">+D44+E40</f>
        <v>17703</v>
      </c>
      <c r="F44" s="179">
        <f t="shared" si="95"/>
        <v>27236</v>
      </c>
      <c r="G44" s="179">
        <f t="shared" si="95"/>
        <v>35164</v>
      </c>
      <c r="H44" s="179">
        <f t="shared" si="95"/>
        <v>44621</v>
      </c>
      <c r="I44" s="179">
        <f t="shared" si="95"/>
        <v>52516</v>
      </c>
      <c r="J44" s="179">
        <f t="shared" si="95"/>
        <v>62320</v>
      </c>
      <c r="K44" s="179">
        <f t="shared" si="95"/>
        <v>71725</v>
      </c>
      <c r="L44" s="179">
        <f t="shared" si="95"/>
        <v>80525</v>
      </c>
      <c r="M44" s="179">
        <f t="shared" si="95"/>
        <v>88439</v>
      </c>
      <c r="N44" s="179">
        <f t="shared" si="95"/>
        <v>96775</v>
      </c>
      <c r="O44" s="179">
        <f t="shared" si="95"/>
        <v>105002</v>
      </c>
    </row>
    <row r="45" spans="1:16" ht="15.75" thickBot="1">
      <c r="B45" s="471"/>
      <c r="C45" s="181" t="s">
        <v>88</v>
      </c>
      <c r="D45" s="183">
        <f>+D41</f>
        <v>11644</v>
      </c>
      <c r="E45" s="181">
        <f t="shared" si="95"/>
        <v>21182</v>
      </c>
      <c r="F45" s="181">
        <f t="shared" si="95"/>
        <v>29112</v>
      </c>
      <c r="G45" s="181">
        <f t="shared" si="95"/>
        <v>37042</v>
      </c>
      <c r="H45" s="181">
        <f t="shared" si="95"/>
        <v>47338</v>
      </c>
      <c r="I45" s="181">
        <f t="shared" si="95"/>
        <v>56818</v>
      </c>
      <c r="J45" s="181">
        <f t="shared" si="95"/>
        <v>69573</v>
      </c>
      <c r="K45" s="181">
        <f t="shared" si="95"/>
        <v>79189</v>
      </c>
      <c r="L45" s="181">
        <f t="shared" si="95"/>
        <v>89740</v>
      </c>
      <c r="M45" s="181">
        <f t="shared" si="95"/>
        <v>100005</v>
      </c>
      <c r="N45" s="181">
        <f t="shared" si="95"/>
        <v>104107</v>
      </c>
      <c r="O45" s="181">
        <f t="shared" si="95"/>
        <v>112708</v>
      </c>
    </row>
    <row r="46" spans="1:16">
      <c r="A46" s="463" t="s">
        <v>14</v>
      </c>
      <c r="B46" s="470" t="s">
        <v>73</v>
      </c>
      <c r="C46" s="186" t="s">
        <v>305</v>
      </c>
      <c r="D46" s="178"/>
      <c r="E46" s="178">
        <v>2331</v>
      </c>
      <c r="F46" s="178">
        <v>3388</v>
      </c>
      <c r="G46" s="178">
        <v>6230</v>
      </c>
      <c r="H46" s="428"/>
      <c r="I46" s="428">
        <v>3545</v>
      </c>
      <c r="J46" s="428">
        <v>6345</v>
      </c>
      <c r="K46" s="277">
        <v>3703</v>
      </c>
      <c r="L46" s="428"/>
      <c r="M46" s="428">
        <v>85</v>
      </c>
      <c r="N46" s="428"/>
      <c r="O46" s="450"/>
    </row>
    <row r="47" spans="1:16" ht="15.75" thickBot="1">
      <c r="A47" s="464"/>
      <c r="B47" s="471"/>
      <c r="C47" s="187" t="s">
        <v>87</v>
      </c>
      <c r="D47" s="181"/>
      <c r="E47" s="181">
        <v>3455</v>
      </c>
      <c r="F47" s="181">
        <v>3178</v>
      </c>
      <c r="G47" s="415">
        <v>3388</v>
      </c>
      <c r="H47" s="415">
        <v>802</v>
      </c>
      <c r="I47" s="415">
        <v>6294</v>
      </c>
      <c r="J47" s="181">
        <v>4692</v>
      </c>
      <c r="K47" s="181">
        <v>4159</v>
      </c>
      <c r="L47" s="181">
        <v>5379</v>
      </c>
      <c r="M47" s="181">
        <v>3421</v>
      </c>
      <c r="N47" s="415"/>
      <c r="O47" s="451">
        <v>3938</v>
      </c>
    </row>
    <row r="48" spans="1:16">
      <c r="B48" s="471"/>
      <c r="C48" s="179" t="s">
        <v>306</v>
      </c>
      <c r="D48" s="185" t="e">
        <f>(D46/D47)-1</f>
        <v>#DIV/0!</v>
      </c>
      <c r="E48" s="185">
        <f t="shared" ref="E48:F48" si="96">(E46/E47)-1</f>
        <v>-0.32532561505065127</v>
      </c>
      <c r="F48" s="185">
        <f t="shared" si="96"/>
        <v>6.6079295154185091E-2</v>
      </c>
      <c r="G48" s="185">
        <f t="shared" ref="G48" si="97">(G46/G47)-1</f>
        <v>0.83884297520661155</v>
      </c>
      <c r="H48" s="185">
        <f t="shared" ref="H48:I48" si="98">(H46/H47)-1</f>
        <v>-1</v>
      </c>
      <c r="I48" s="185">
        <f t="shared" si="98"/>
        <v>-0.4367651731808071</v>
      </c>
      <c r="J48" s="185">
        <f t="shared" ref="J48:K48" si="99">(J46/J47)-1</f>
        <v>0.35230179028132991</v>
      </c>
      <c r="K48" s="185">
        <f t="shared" si="99"/>
        <v>-0.10964174080307765</v>
      </c>
      <c r="L48" s="185">
        <f t="shared" ref="L48:M48" si="100">(L46/L47)-1</f>
        <v>-1</v>
      </c>
      <c r="M48" s="185">
        <f t="shared" si="100"/>
        <v>-0.97515346389944457</v>
      </c>
      <c r="N48" s="185" t="e">
        <f t="shared" ref="N48:O48" si="101">(N46/N47)-1</f>
        <v>#DIV/0!</v>
      </c>
      <c r="O48" s="185">
        <f t="shared" si="101"/>
        <v>-1</v>
      </c>
    </row>
    <row r="49" spans="1:16">
      <c r="B49" s="471"/>
      <c r="C49" s="181" t="s">
        <v>307</v>
      </c>
      <c r="D49" s="152" t="e">
        <f>(D50/D51)-1</f>
        <v>#DIV/0!</v>
      </c>
      <c r="E49" s="152">
        <f t="shared" ref="E49:F49" si="102">(E50/E51)-1</f>
        <v>-0.32532561505065127</v>
      </c>
      <c r="F49" s="152">
        <f t="shared" si="102"/>
        <v>-0.13779586913915276</v>
      </c>
      <c r="G49" s="152">
        <f t="shared" ref="G49" si="103">(G50/G51)-1</f>
        <v>0.19239596846622087</v>
      </c>
      <c r="H49" s="152">
        <f t="shared" ref="H49:I49" si="104">(H50/H51)-1</f>
        <v>0.10403769749607328</v>
      </c>
      <c r="I49" s="152">
        <f t="shared" si="104"/>
        <v>-9.4818017175906988E-2</v>
      </c>
      <c r="J49" s="152">
        <f t="shared" ref="J49:K49" si="105">(J50/J51)-1</f>
        <v>1.3755788894493914E-3</v>
      </c>
      <c r="K49" s="152">
        <f t="shared" si="105"/>
        <v>-1.6404805914972287E-2</v>
      </c>
      <c r="L49" s="152">
        <f t="shared" ref="L49:M49" si="106">(L50/L51)-1</f>
        <v>-0.18518518518518523</v>
      </c>
      <c r="M49" s="152">
        <f t="shared" si="106"/>
        <v>-0.26291417395306027</v>
      </c>
      <c r="N49" s="152">
        <f t="shared" ref="N49:O49" si="107">(N50/N51)-1</f>
        <v>-0.26291417395306027</v>
      </c>
      <c r="O49" s="152">
        <f t="shared" si="107"/>
        <v>-0.33790626776210408</v>
      </c>
    </row>
    <row r="50" spans="1:16">
      <c r="B50" s="471"/>
      <c r="C50" s="179" t="s">
        <v>308</v>
      </c>
      <c r="D50" s="179">
        <f>+D46</f>
        <v>0</v>
      </c>
      <c r="E50" s="179">
        <f t="shared" ref="E50:O51" si="108">+D50+E46</f>
        <v>2331</v>
      </c>
      <c r="F50" s="179">
        <f t="shared" si="108"/>
        <v>5719</v>
      </c>
      <c r="G50" s="179">
        <f t="shared" si="108"/>
        <v>11949</v>
      </c>
      <c r="H50" s="179">
        <f t="shared" si="108"/>
        <v>11949</v>
      </c>
      <c r="I50" s="179">
        <f t="shared" si="108"/>
        <v>15494</v>
      </c>
      <c r="J50" s="179">
        <f t="shared" si="108"/>
        <v>21839</v>
      </c>
      <c r="K50" s="179">
        <f t="shared" si="108"/>
        <v>25542</v>
      </c>
      <c r="L50" s="179">
        <f t="shared" si="108"/>
        <v>25542</v>
      </c>
      <c r="M50" s="179">
        <f t="shared" si="108"/>
        <v>25627</v>
      </c>
      <c r="N50" s="179">
        <f t="shared" si="108"/>
        <v>25627</v>
      </c>
      <c r="O50" s="179">
        <f t="shared" si="108"/>
        <v>25627</v>
      </c>
    </row>
    <row r="51" spans="1:16" ht="15.75" thickBot="1">
      <c r="B51" s="471"/>
      <c r="C51" s="184" t="s">
        <v>88</v>
      </c>
      <c r="D51" s="184">
        <f>+D47</f>
        <v>0</v>
      </c>
      <c r="E51" s="184">
        <f t="shared" si="108"/>
        <v>3455</v>
      </c>
      <c r="F51" s="184">
        <f t="shared" si="108"/>
        <v>6633</v>
      </c>
      <c r="G51" s="184">
        <f t="shared" si="108"/>
        <v>10021</v>
      </c>
      <c r="H51" s="184">
        <f t="shared" si="108"/>
        <v>10823</v>
      </c>
      <c r="I51" s="184">
        <f t="shared" si="108"/>
        <v>17117</v>
      </c>
      <c r="J51" s="184">
        <f t="shared" si="108"/>
        <v>21809</v>
      </c>
      <c r="K51" s="184">
        <f t="shared" si="108"/>
        <v>25968</v>
      </c>
      <c r="L51" s="184">
        <f t="shared" si="108"/>
        <v>31347</v>
      </c>
      <c r="M51" s="184">
        <f t="shared" si="108"/>
        <v>34768</v>
      </c>
      <c r="N51" s="184">
        <f t="shared" si="108"/>
        <v>34768</v>
      </c>
      <c r="O51" s="184">
        <f t="shared" si="108"/>
        <v>38706</v>
      </c>
    </row>
    <row r="52" spans="1:16" ht="15.75">
      <c r="A52" s="175"/>
      <c r="B52" s="473" t="s">
        <v>23</v>
      </c>
      <c r="C52" s="29" t="s">
        <v>20</v>
      </c>
      <c r="D52" s="174">
        <f>+D34/D13</f>
        <v>0.61432426910959859</v>
      </c>
      <c r="E52" s="174">
        <f t="shared" ref="E52:F52" si="109">+E34/E13</f>
        <v>0.6867660401814647</v>
      </c>
      <c r="F52" s="174">
        <f t="shared" si="109"/>
        <v>0.7003442764047707</v>
      </c>
      <c r="G52" s="174">
        <f t="shared" ref="G52" si="110">+G34/G13</f>
        <v>0.60419830185854528</v>
      </c>
      <c r="H52" s="174">
        <f t="shared" ref="H52:I52" si="111">+H34/H13</f>
        <v>0.67010276746363173</v>
      </c>
      <c r="I52" s="174">
        <f t="shared" si="111"/>
        <v>0.49238241562174756</v>
      </c>
      <c r="J52" s="174">
        <f t="shared" ref="J52:K52" si="112">+J34/J13</f>
        <v>0.62675365163674157</v>
      </c>
      <c r="K52" s="174">
        <f t="shared" si="112"/>
        <v>0.57212490326730381</v>
      </c>
      <c r="L52" s="174">
        <f t="shared" ref="L52:M52" si="113">+L34/L13</f>
        <v>0.52110065105475334</v>
      </c>
      <c r="M52" s="174">
        <f t="shared" si="113"/>
        <v>0.62545331652216862</v>
      </c>
      <c r="N52" s="174">
        <f t="shared" ref="N52:O52" si="114">+N34/N13</f>
        <v>0.40105814273904655</v>
      </c>
      <c r="O52" s="174">
        <f t="shared" si="114"/>
        <v>0.85777247165937698</v>
      </c>
    </row>
    <row r="53" spans="1:16" ht="15.75">
      <c r="A53" s="176"/>
      <c r="B53" s="474"/>
      <c r="C53" s="31" t="s">
        <v>320</v>
      </c>
      <c r="D53" s="32">
        <f>+D38/D17</f>
        <v>0.61432426910959859</v>
      </c>
      <c r="E53" s="32">
        <f t="shared" ref="E53:F54" si="115">+E38/E17</f>
        <v>0.64717048773750685</v>
      </c>
      <c r="F53" s="32">
        <f t="shared" si="115"/>
        <v>0.66436697510368492</v>
      </c>
      <c r="G53" s="425">
        <f t="shared" ref="G53" si="116">+G38/G17</f>
        <v>0.64805780919834088</v>
      </c>
      <c r="H53" s="427">
        <f t="shared" ref="H53:I53" si="117">+H38/H17</f>
        <v>0.65282025877936489</v>
      </c>
      <c r="I53" s="32">
        <f t="shared" si="117"/>
        <v>0.62289930141547012</v>
      </c>
      <c r="J53" s="32">
        <f t="shared" ref="J53:K53" si="118">+J38/J17</f>
        <v>0.62352045428818204</v>
      </c>
      <c r="K53" s="32">
        <f t="shared" si="118"/>
        <v>0.61665041148448774</v>
      </c>
      <c r="L53" s="32">
        <f t="shared" ref="L53:M53" si="119">+L38/L17</f>
        <v>0.60639026291333153</v>
      </c>
      <c r="M53" s="32">
        <f t="shared" si="119"/>
        <v>0.60800036888296527</v>
      </c>
      <c r="N53" s="32">
        <f t="shared" ref="N53:O53" si="120">+N38/N17</f>
        <v>0.58925520900414641</v>
      </c>
      <c r="O53" s="32">
        <f t="shared" si="120"/>
        <v>0.61130931161548629</v>
      </c>
    </row>
    <row r="54" spans="1:16" ht="16.5" thickBot="1">
      <c r="A54" s="177"/>
      <c r="B54" s="475"/>
      <c r="C54" s="33" t="s">
        <v>89</v>
      </c>
      <c r="D54" s="34">
        <f>+D39/D18</f>
        <v>0.61834593007449301</v>
      </c>
      <c r="E54" s="34">
        <f t="shared" si="115"/>
        <v>0.62859281348899987</v>
      </c>
      <c r="F54" s="34">
        <f t="shared" si="115"/>
        <v>0.69896740353489017</v>
      </c>
      <c r="G54" s="423">
        <f t="shared" ref="G54:H54" si="121">+G39/G18</f>
        <v>0.66712815357955557</v>
      </c>
      <c r="H54" s="426">
        <f t="shared" si="121"/>
        <v>0.63893720739190718</v>
      </c>
      <c r="I54" s="424">
        <f t="shared" ref="I54:J54" si="122">+I39/I18</f>
        <v>0.62855710308506885</v>
      </c>
      <c r="J54" s="424">
        <f t="shared" si="122"/>
        <v>0.63503189437768881</v>
      </c>
      <c r="K54" s="424">
        <f t="shared" ref="K54:L54" si="123">+K39/K18</f>
        <v>0.62844841647768235</v>
      </c>
      <c r="L54" s="34">
        <f t="shared" si="123"/>
        <v>0.61789068588461193</v>
      </c>
      <c r="M54" s="34">
        <f t="shared" ref="M54:N54" si="124">+M39/M18</f>
        <v>0.62797057684862567</v>
      </c>
      <c r="N54" s="34">
        <f t="shared" si="124"/>
        <v>0.62853026378602639</v>
      </c>
      <c r="O54" s="34">
        <f t="shared" ref="O54" si="125">+O39/O18</f>
        <v>0.64867420257414665</v>
      </c>
    </row>
    <row r="55" spans="1:16" ht="15.75" thickBot="1">
      <c r="A55" s="476" t="s">
        <v>21</v>
      </c>
      <c r="B55" s="478" t="s">
        <v>81</v>
      </c>
      <c r="C55" s="237" t="s">
        <v>305</v>
      </c>
      <c r="D55" s="18">
        <v>1560426</v>
      </c>
      <c r="E55" s="18">
        <f>PIGOO!C93-PIGOO!C97-PIGOO!C98</f>
        <v>1360770.44</v>
      </c>
      <c r="F55" s="18">
        <f>PIGOO!D93-PIGOO!D97-PIGOO!D98</f>
        <v>1437907.7399999998</v>
      </c>
      <c r="G55" s="421">
        <f>PIGOO!E93-PIGOO!E97-PIGOO!E98</f>
        <v>1530025.2199999997</v>
      </c>
      <c r="H55" s="422">
        <f>PIGOO!F93-PIGOO!F97-PIGOO!F98</f>
        <v>1595714.17</v>
      </c>
      <c r="I55" s="422">
        <f>PIGOO!G93-PIGOO!G97-PIGOO!G98</f>
        <v>1640003</v>
      </c>
      <c r="J55" s="422">
        <f>PIGOO!H93-PIGOO!H97-PIGOO!H98</f>
        <v>1759438.56</v>
      </c>
      <c r="K55" s="422">
        <f>PIGOO!I93-PIGOO!I97-PIGOO!I98</f>
        <v>1738860.8099999998</v>
      </c>
      <c r="L55" s="18">
        <f>PIGOO!J93-PIGOO!J97-PIGOO!J98</f>
        <v>1834651.9700000002</v>
      </c>
      <c r="M55" s="18">
        <f>PIGOO!K93-PIGOO!K97-PIGOO!K98</f>
        <v>1494010.9199999988</v>
      </c>
      <c r="N55" s="18">
        <f>PIGOO!L93-PIGOO!L97-PIGOO!L98</f>
        <v>1453360.6600000001</v>
      </c>
      <c r="O55" s="18">
        <f>PIGOO!M93-PIGOO!M97-PIGOO!M98</f>
        <v>1978795.8900000001</v>
      </c>
      <c r="P55" s="244">
        <v>5</v>
      </c>
    </row>
    <row r="56" spans="1:16" ht="15.75" thickBot="1">
      <c r="A56" s="477"/>
      <c r="B56" s="479"/>
      <c r="C56" s="159" t="s">
        <v>87</v>
      </c>
      <c r="D56" s="35">
        <v>1212604</v>
      </c>
      <c r="E56" s="36">
        <v>1147125</v>
      </c>
      <c r="F56" s="36">
        <v>1225478</v>
      </c>
      <c r="G56" s="411">
        <v>1225478</v>
      </c>
      <c r="H56" s="411">
        <v>1250001</v>
      </c>
      <c r="I56" s="411">
        <v>1267102.5</v>
      </c>
      <c r="J56" s="9">
        <v>1532036</v>
      </c>
      <c r="K56" s="278">
        <v>1543710</v>
      </c>
      <c r="L56" s="19">
        <v>1466249.3599999999</v>
      </c>
      <c r="M56" s="36">
        <v>1464591.3900000001</v>
      </c>
      <c r="N56" s="36">
        <v>1279843.52</v>
      </c>
      <c r="O56" s="19">
        <v>1309415.3999999999</v>
      </c>
    </row>
    <row r="57" spans="1:16">
      <c r="B57" s="479"/>
      <c r="C57" s="14" t="s">
        <v>306</v>
      </c>
      <c r="D57" s="15">
        <f>(D55/D56)-1</f>
        <v>0.28683890206530749</v>
      </c>
      <c r="E57" s="15">
        <f t="shared" ref="E57:F57" si="126">(E55/E56)-1</f>
        <v>0.18624425411354473</v>
      </c>
      <c r="F57" s="15">
        <f t="shared" si="126"/>
        <v>0.17334439296339865</v>
      </c>
      <c r="G57" s="15">
        <f t="shared" ref="G57" si="127">(G55/G56)-1</f>
        <v>0.24851300472142279</v>
      </c>
      <c r="H57" s="15">
        <f t="shared" ref="H57:I57" si="128">(H55/H56)-1</f>
        <v>0.27657031474374816</v>
      </c>
      <c r="I57" s="15">
        <f t="shared" si="128"/>
        <v>0.29429387125350948</v>
      </c>
      <c r="J57" s="15">
        <f t="shared" ref="J57:K57" si="129">(J55/J56)-1</f>
        <v>0.14843160343490625</v>
      </c>
      <c r="K57" s="15">
        <f t="shared" si="129"/>
        <v>0.12641675573780042</v>
      </c>
      <c r="L57" s="15">
        <f t="shared" ref="L57:M57" si="130">(L55/L56)-1</f>
        <v>0.25125508665183682</v>
      </c>
      <c r="M57" s="15">
        <f t="shared" si="130"/>
        <v>2.0087193056623542E-2</v>
      </c>
      <c r="N57" s="15">
        <f t="shared" ref="N57:O57" si="131">(N55/N56)-1</f>
        <v>0.13557683989367719</v>
      </c>
      <c r="O57" s="15">
        <f t="shared" si="131"/>
        <v>0.51120560366099266</v>
      </c>
    </row>
    <row r="58" spans="1:16">
      <c r="B58" s="479"/>
      <c r="C58" s="20" t="s">
        <v>307</v>
      </c>
      <c r="D58" s="24">
        <f>(D59/D60)-1</f>
        <v>0.28683890206530749</v>
      </c>
      <c r="E58" s="24">
        <f t="shared" ref="E58:F58" si="132">(E59/E60)-1</f>
        <v>0.23793725465932747</v>
      </c>
      <c r="F58" s="24">
        <f t="shared" si="132"/>
        <v>0.21585843718368269</v>
      </c>
      <c r="G58" s="24">
        <f t="shared" ref="G58" si="133">(G59/G60)-1</f>
        <v>0.22417688956978044</v>
      </c>
      <c r="H58" s="24">
        <f t="shared" ref="H58:I58" si="134">(H59/H60)-1</f>
        <v>0.23498289962555385</v>
      </c>
      <c r="I58" s="24">
        <f t="shared" si="134"/>
        <v>0.24523880158386135</v>
      </c>
      <c r="J58" s="24">
        <f t="shared" ref="J58:K58" si="135">(J59/J60)-1</f>
        <v>0.22849895390140063</v>
      </c>
      <c r="K58" s="24">
        <f t="shared" si="135"/>
        <v>0.21335166812778872</v>
      </c>
      <c r="L58" s="24">
        <f t="shared" ref="L58:M58" si="136">(L59/L60)-1</f>
        <v>0.21803379745787566</v>
      </c>
      <c r="M58" s="24">
        <f t="shared" si="136"/>
        <v>0.19629217949299882</v>
      </c>
      <c r="N58" s="24">
        <f t="shared" ref="N58:O58" si="137">(N59/N60)-1</f>
        <v>0.19097501987100762</v>
      </c>
      <c r="O58" s="24">
        <f t="shared" si="137"/>
        <v>0.21730788167183834</v>
      </c>
    </row>
    <row r="59" spans="1:16">
      <c r="B59" s="479"/>
      <c r="C59" s="14" t="s">
        <v>308</v>
      </c>
      <c r="D59" s="9">
        <f>D55</f>
        <v>1560426</v>
      </c>
      <c r="E59" s="9">
        <f t="shared" ref="E59:O59" si="138">D59+E55</f>
        <v>2921196.44</v>
      </c>
      <c r="F59" s="9">
        <f t="shared" si="138"/>
        <v>4359104.18</v>
      </c>
      <c r="G59" s="9">
        <f t="shared" si="138"/>
        <v>5889129.3999999994</v>
      </c>
      <c r="H59" s="9">
        <f t="shared" si="138"/>
        <v>7484843.5699999994</v>
      </c>
      <c r="I59" s="9">
        <f t="shared" si="138"/>
        <v>9124846.5700000003</v>
      </c>
      <c r="J59" s="9">
        <f t="shared" si="138"/>
        <v>10884285.130000001</v>
      </c>
      <c r="K59" s="9">
        <f t="shared" si="138"/>
        <v>12623145.940000001</v>
      </c>
      <c r="L59" s="9">
        <f t="shared" si="138"/>
        <v>14457797.910000002</v>
      </c>
      <c r="M59" s="9">
        <f t="shared" si="138"/>
        <v>15951808.83</v>
      </c>
      <c r="N59" s="9">
        <f t="shared" si="138"/>
        <v>17405169.490000002</v>
      </c>
      <c r="O59" s="9">
        <f t="shared" si="138"/>
        <v>19383965.380000003</v>
      </c>
    </row>
    <row r="60" spans="1:16" ht="15.75" thickBot="1">
      <c r="B60" s="480"/>
      <c r="C60" s="37" t="s">
        <v>88</v>
      </c>
      <c r="D60" s="22">
        <f>D56</f>
        <v>1212604</v>
      </c>
      <c r="E60" s="22">
        <f t="shared" ref="E60:O60" si="139">+D60+E56</f>
        <v>2359729</v>
      </c>
      <c r="F60" s="22">
        <f t="shared" si="139"/>
        <v>3585207</v>
      </c>
      <c r="G60" s="22">
        <f t="shared" si="139"/>
        <v>4810685</v>
      </c>
      <c r="H60" s="22">
        <f t="shared" si="139"/>
        <v>6060686</v>
      </c>
      <c r="I60" s="22">
        <f t="shared" si="139"/>
        <v>7327788.5</v>
      </c>
      <c r="J60" s="22">
        <f t="shared" si="139"/>
        <v>8859824.5</v>
      </c>
      <c r="K60" s="22">
        <f t="shared" si="139"/>
        <v>10403534.5</v>
      </c>
      <c r="L60" s="22">
        <f t="shared" si="139"/>
        <v>11869783.859999999</v>
      </c>
      <c r="M60" s="22">
        <f t="shared" si="139"/>
        <v>13334375.25</v>
      </c>
      <c r="N60" s="22">
        <f t="shared" si="139"/>
        <v>14614218.77</v>
      </c>
      <c r="O60" s="22">
        <f t="shared" si="139"/>
        <v>15923634.17</v>
      </c>
    </row>
    <row r="61" spans="1:16" ht="15" customHeight="1" thickBot="1">
      <c r="A61" s="476" t="s">
        <v>21</v>
      </c>
      <c r="B61" s="478" t="s">
        <v>80</v>
      </c>
      <c r="C61" s="249" t="s">
        <v>305</v>
      </c>
      <c r="D61" s="138">
        <v>54227</v>
      </c>
      <c r="E61" s="138">
        <f>PIGOO!C97+PIGOO!C98</f>
        <v>49359.880000000005</v>
      </c>
      <c r="F61" s="138">
        <f>PIGOO!D97+PIGOO!D98</f>
        <v>71290.8</v>
      </c>
      <c r="G61" s="138">
        <f>PIGOO!E97+PIGOO!E98</f>
        <v>93917.150000000009</v>
      </c>
      <c r="H61" s="138">
        <f>PIGOO!F97+PIGOO!F98</f>
        <v>89840.19</v>
      </c>
      <c r="I61" s="138">
        <f>PIGOO!G97+PIGOO!G98</f>
        <v>83813</v>
      </c>
      <c r="J61" s="138">
        <f>PIGOO!H97+PIGOO!H98</f>
        <v>95571.23</v>
      </c>
      <c r="K61" s="138">
        <f>PIGOO!I97+PIGOO!I98</f>
        <v>85385.58</v>
      </c>
      <c r="L61" s="138">
        <f>PIGOO!J97+PIGOO!J98</f>
        <v>93408.049999999988</v>
      </c>
      <c r="M61" s="138">
        <f>PIGOO!K97+PIGOO!K98</f>
        <v>7616107.7000000002</v>
      </c>
      <c r="N61" s="138">
        <f>PIGOO!L97+PIGOO!L98</f>
        <v>62540.17</v>
      </c>
      <c r="O61" s="138">
        <f>PIGOO!M97+PIGOO!M98</f>
        <v>163682.23000000001</v>
      </c>
      <c r="P61" s="244">
        <v>6</v>
      </c>
    </row>
    <row r="62" spans="1:16" ht="15.75" thickBot="1">
      <c r="A62" s="477"/>
      <c r="B62" s="479"/>
      <c r="C62" s="159" t="s">
        <v>87</v>
      </c>
      <c r="D62" s="35">
        <v>140866</v>
      </c>
      <c r="E62" s="36">
        <v>90403</v>
      </c>
      <c r="F62" s="36">
        <v>92210</v>
      </c>
      <c r="G62" s="411">
        <v>92210</v>
      </c>
      <c r="H62" s="411">
        <v>72959</v>
      </c>
      <c r="I62" s="411">
        <v>130536.65</v>
      </c>
      <c r="J62" s="19">
        <v>132798</v>
      </c>
      <c r="K62" s="278">
        <v>110892</v>
      </c>
      <c r="L62" s="19">
        <v>141967.59</v>
      </c>
      <c r="M62" s="36">
        <v>109255.67</v>
      </c>
      <c r="N62" s="36">
        <v>91515.459999999992</v>
      </c>
      <c r="O62" s="19">
        <v>105459.31</v>
      </c>
    </row>
    <row r="63" spans="1:16">
      <c r="B63" s="479"/>
      <c r="C63" s="14" t="s">
        <v>306</v>
      </c>
      <c r="D63" s="15">
        <f>(D61/D62)-1</f>
        <v>-0.61504550423807025</v>
      </c>
      <c r="E63" s="15">
        <f t="shared" ref="E63:F63" si="140">(E61/E62)-1</f>
        <v>-0.45400174772961066</v>
      </c>
      <c r="F63" s="15">
        <f t="shared" si="140"/>
        <v>-0.22686476520984711</v>
      </c>
      <c r="G63" s="15">
        <f t="shared" ref="G63" si="141">(G61/G62)-1</f>
        <v>1.8513718685609026E-2</v>
      </c>
      <c r="H63" s="15">
        <f t="shared" ref="H63:I63" si="142">(H61/H62)-1</f>
        <v>0.23137913074466487</v>
      </c>
      <c r="I63" s="15">
        <f t="shared" si="142"/>
        <v>-0.35793510864573275</v>
      </c>
      <c r="J63" s="15">
        <f t="shared" ref="J63:K63" si="143">(J61/J62)-1</f>
        <v>-0.28032628503441315</v>
      </c>
      <c r="K63" s="15">
        <f t="shared" si="143"/>
        <v>-0.23001136240666598</v>
      </c>
      <c r="L63" s="15">
        <f t="shared" ref="L63:M63" si="144">(L61/L62)-1</f>
        <v>-0.34204666008629159</v>
      </c>
      <c r="M63" s="15">
        <f t="shared" si="144"/>
        <v>68.709038441666237</v>
      </c>
      <c r="N63" s="15">
        <f t="shared" ref="N63:O63" si="145">(N61/N62)-1</f>
        <v>-0.31661634001511874</v>
      </c>
      <c r="O63" s="15">
        <f t="shared" si="145"/>
        <v>0.5520889526017192</v>
      </c>
    </row>
    <row r="64" spans="1:16">
      <c r="B64" s="479"/>
      <c r="C64" s="20" t="s">
        <v>307</v>
      </c>
      <c r="D64" s="24">
        <f>(D65/D66)-1</f>
        <v>-0.61504550423807025</v>
      </c>
      <c r="E64" s="24">
        <f t="shared" ref="E64:F64" si="146">(E65/E66)-1</f>
        <v>-0.55209353609865564</v>
      </c>
      <c r="F64" s="24">
        <f t="shared" si="146"/>
        <v>-0.45938475140581003</v>
      </c>
      <c r="G64" s="24">
        <f t="shared" ref="G64" si="147">(G65/G66)-1</f>
        <v>-0.35337516749300557</v>
      </c>
      <c r="H64" s="24">
        <f t="shared" ref="H64:I64" si="148">(H65/H66)-1</f>
        <v>-0.26606673924788393</v>
      </c>
      <c r="I64" s="24">
        <f t="shared" si="148"/>
        <v>-0.2854344499657735</v>
      </c>
      <c r="J64" s="24">
        <f t="shared" ref="J64:K64" si="149">(J65/J66)-1</f>
        <v>-0.28453236254852421</v>
      </c>
      <c r="K64" s="24">
        <f t="shared" si="149"/>
        <v>-0.2775256174231101</v>
      </c>
      <c r="L64" s="24">
        <f t="shared" ref="L64:M64" si="150">(L65/L66)-1</f>
        <v>-0.2866413736747373</v>
      </c>
      <c r="M64" s="24">
        <f t="shared" si="150"/>
        <v>6.4795226749864385</v>
      </c>
      <c r="N64" s="24">
        <f t="shared" ref="N64:O64" si="151">(N65/N66)-1</f>
        <v>5.9636427057871799</v>
      </c>
      <c r="O64" s="24">
        <f t="shared" si="151"/>
        <v>5.5283512581468797</v>
      </c>
    </row>
    <row r="65" spans="1:16">
      <c r="B65" s="479"/>
      <c r="C65" s="14" t="s">
        <v>308</v>
      </c>
      <c r="D65" s="9">
        <f>D61</f>
        <v>54227</v>
      </c>
      <c r="E65" s="9">
        <f t="shared" ref="E65:O66" si="152">D65+E61</f>
        <v>103586.88</v>
      </c>
      <c r="F65" s="9">
        <f t="shared" si="152"/>
        <v>174877.68</v>
      </c>
      <c r="G65" s="9">
        <f t="shared" si="152"/>
        <v>268794.83</v>
      </c>
      <c r="H65" s="9">
        <f t="shared" si="152"/>
        <v>358635.02</v>
      </c>
      <c r="I65" s="9">
        <f t="shared" si="152"/>
        <v>442448.02</v>
      </c>
      <c r="J65" s="9">
        <f t="shared" si="152"/>
        <v>538019.25</v>
      </c>
      <c r="K65" s="9">
        <f t="shared" si="152"/>
        <v>623404.82999999996</v>
      </c>
      <c r="L65" s="9">
        <f t="shared" si="152"/>
        <v>716812.87999999989</v>
      </c>
      <c r="M65" s="9">
        <f t="shared" si="152"/>
        <v>8332920.5800000001</v>
      </c>
      <c r="N65" s="9">
        <f t="shared" si="152"/>
        <v>8395460.75</v>
      </c>
      <c r="O65" s="9">
        <f t="shared" si="152"/>
        <v>8559142.9800000004</v>
      </c>
    </row>
    <row r="66" spans="1:16" ht="15.75" thickBot="1">
      <c r="B66" s="480"/>
      <c r="C66" s="37" t="s">
        <v>88</v>
      </c>
      <c r="D66" s="22">
        <f>D62</f>
        <v>140866</v>
      </c>
      <c r="E66" s="22">
        <f t="shared" si="152"/>
        <v>231269</v>
      </c>
      <c r="F66" s="22">
        <f t="shared" si="152"/>
        <v>323479</v>
      </c>
      <c r="G66" s="22">
        <f t="shared" si="152"/>
        <v>415689</v>
      </c>
      <c r="H66" s="22">
        <f t="shared" si="152"/>
        <v>488648</v>
      </c>
      <c r="I66" s="22">
        <f t="shared" si="152"/>
        <v>619184.65</v>
      </c>
      <c r="J66" s="22">
        <f t="shared" si="152"/>
        <v>751982.65</v>
      </c>
      <c r="K66" s="22">
        <f t="shared" si="152"/>
        <v>862874.65</v>
      </c>
      <c r="L66" s="22">
        <f t="shared" si="152"/>
        <v>1004842.24</v>
      </c>
      <c r="M66" s="22">
        <f t="shared" si="152"/>
        <v>1114097.9099999999</v>
      </c>
      <c r="N66" s="22">
        <f t="shared" si="152"/>
        <v>1205613.3699999999</v>
      </c>
      <c r="O66" s="22">
        <f t="shared" si="152"/>
        <v>1311072.68</v>
      </c>
    </row>
    <row r="67" spans="1:16" ht="15" customHeight="1" thickBot="1">
      <c r="A67" s="476" t="s">
        <v>21</v>
      </c>
      <c r="B67" s="470" t="s">
        <v>93</v>
      </c>
      <c r="C67" s="160" t="s">
        <v>305</v>
      </c>
      <c r="D67" s="138">
        <v>635213</v>
      </c>
      <c r="E67" s="139">
        <v>569358.55000000005</v>
      </c>
      <c r="F67" s="405">
        <v>538977.11</v>
      </c>
      <c r="G67" s="405">
        <v>488742.12</v>
      </c>
      <c r="H67" s="405">
        <v>572349.25</v>
      </c>
      <c r="I67" s="405">
        <v>586992.37</v>
      </c>
      <c r="J67" s="405">
        <v>687790.51</v>
      </c>
      <c r="K67" s="280">
        <v>550139.81999999995</v>
      </c>
      <c r="L67" s="405">
        <v>475740</v>
      </c>
      <c r="M67" s="405">
        <v>568993</v>
      </c>
      <c r="N67" s="405">
        <v>370252</v>
      </c>
      <c r="O67" s="280">
        <v>802043</v>
      </c>
    </row>
    <row r="68" spans="1:16" ht="15.75" thickBot="1">
      <c r="A68" s="477"/>
      <c r="B68" s="471"/>
      <c r="C68" s="161" t="s">
        <v>87</v>
      </c>
      <c r="D68" s="142">
        <v>589424</v>
      </c>
      <c r="E68" s="143">
        <v>447324</v>
      </c>
      <c r="F68" s="27">
        <v>547921</v>
      </c>
      <c r="G68" s="411">
        <v>547921</v>
      </c>
      <c r="H68" s="411">
        <v>499042</v>
      </c>
      <c r="I68" s="411">
        <v>583253.35</v>
      </c>
      <c r="J68" s="27">
        <v>1258595</v>
      </c>
      <c r="K68" s="437">
        <v>704450</v>
      </c>
      <c r="L68" s="139">
        <v>483449.35</v>
      </c>
      <c r="M68" s="139">
        <v>664193.91</v>
      </c>
      <c r="N68" s="139">
        <v>368121.87</v>
      </c>
      <c r="O68" s="276">
        <v>672038</v>
      </c>
    </row>
    <row r="69" spans="1:16">
      <c r="B69" s="471"/>
      <c r="C69" s="38" t="s">
        <v>306</v>
      </c>
      <c r="D69" s="41"/>
      <c r="E69" s="15">
        <f t="shared" ref="E69:F69" si="153">(E67/E68)-1</f>
        <v>0.27281020021282121</v>
      </c>
      <c r="F69" s="15">
        <f t="shared" si="153"/>
        <v>-1.6323320332675695E-2</v>
      </c>
      <c r="G69" s="15">
        <f t="shared" ref="G69" si="154">(G67/G68)-1</f>
        <v>-0.10800622717508546</v>
      </c>
      <c r="H69" s="15">
        <f t="shared" ref="H69:I69" si="155">(H67/H68)-1</f>
        <v>0.14689595264526822</v>
      </c>
      <c r="I69" s="15">
        <f t="shared" si="155"/>
        <v>6.4106275600475104E-3</v>
      </c>
      <c r="J69" s="15">
        <f t="shared" ref="J69:K69" si="156">(J67/J68)-1</f>
        <v>-0.4535251530476444</v>
      </c>
      <c r="K69" s="15">
        <f t="shared" si="156"/>
        <v>-0.2190505784654696</v>
      </c>
      <c r="L69" s="15">
        <f t="shared" ref="L69:M69" si="157">(L67/L68)-1</f>
        <v>-1.5946551588082558E-2</v>
      </c>
      <c r="M69" s="15">
        <f t="shared" si="157"/>
        <v>-0.1433330064709567</v>
      </c>
      <c r="N69" s="15">
        <f t="shared" ref="N69:O69" si="158">(N67/N68)-1</f>
        <v>5.7864804392089297E-3</v>
      </c>
      <c r="O69" s="15">
        <f t="shared" si="158"/>
        <v>0.19344888235486679</v>
      </c>
    </row>
    <row r="70" spans="1:16">
      <c r="B70" s="471"/>
      <c r="C70" s="39" t="s">
        <v>307</v>
      </c>
      <c r="D70" s="42">
        <f>(D71/D72)-1</f>
        <v>7.7684315535166526E-2</v>
      </c>
      <c r="E70" s="28">
        <f t="shared" ref="E70:F70" si="159">(E71/E72)-1</f>
        <v>0.16187496865197715</v>
      </c>
      <c r="F70" s="28">
        <f t="shared" si="159"/>
        <v>0.10026047079863365</v>
      </c>
      <c r="G70" s="28">
        <f t="shared" ref="G70" si="160">(G71/G72)-1</f>
        <v>4.6751030437168106E-2</v>
      </c>
      <c r="H70" s="28">
        <f t="shared" ref="H70:I70" si="161">(H71/H72)-1</f>
        <v>6.5741726046802951E-2</v>
      </c>
      <c r="I70" s="28">
        <f t="shared" si="161"/>
        <v>5.4977714835149571E-2</v>
      </c>
      <c r="J70" s="28">
        <f t="shared" ref="J70:K70" si="162">(J71/J72)-1</f>
        <v>-8.8087441805796529E-2</v>
      </c>
      <c r="K70" s="28">
        <f t="shared" si="162"/>
        <v>-0.10590478877337528</v>
      </c>
      <c r="L70" s="28">
        <f t="shared" ref="L70:M70" si="163">(L71/L72)-1</f>
        <v>-9.8222871361198227E-2</v>
      </c>
      <c r="M70" s="28">
        <f t="shared" si="163"/>
        <v>-0.10295949745496658</v>
      </c>
      <c r="N70" s="28">
        <f t="shared" ref="N70:O70" si="164">(N71/N72)-1</f>
        <v>-9.6978978493954315E-2</v>
      </c>
      <c r="O70" s="28">
        <f t="shared" si="164"/>
        <v>-7.0480794806059066E-2</v>
      </c>
    </row>
    <row r="71" spans="1:16">
      <c r="B71" s="471"/>
      <c r="C71" s="38" t="s">
        <v>308</v>
      </c>
      <c r="D71" s="8">
        <f>D67</f>
        <v>635213</v>
      </c>
      <c r="E71" s="9">
        <f t="shared" ref="E71:O72" si="165">D71+E67</f>
        <v>1204571.55</v>
      </c>
      <c r="F71" s="9">
        <f t="shared" si="165"/>
        <v>1743548.6600000001</v>
      </c>
      <c r="G71" s="9">
        <f t="shared" si="165"/>
        <v>2232290.7800000003</v>
      </c>
      <c r="H71" s="9">
        <f t="shared" si="165"/>
        <v>2804640.0300000003</v>
      </c>
      <c r="I71" s="9">
        <f t="shared" si="165"/>
        <v>3391632.4000000004</v>
      </c>
      <c r="J71" s="9">
        <f t="shared" si="165"/>
        <v>4079422.91</v>
      </c>
      <c r="K71" s="9">
        <f t="shared" si="165"/>
        <v>4629562.7300000004</v>
      </c>
      <c r="L71" s="9">
        <f t="shared" si="165"/>
        <v>5105302.7300000004</v>
      </c>
      <c r="M71" s="9">
        <f t="shared" si="165"/>
        <v>5674295.7300000004</v>
      </c>
      <c r="N71" s="9">
        <f t="shared" si="165"/>
        <v>6044547.7300000004</v>
      </c>
      <c r="O71" s="9">
        <f t="shared" si="165"/>
        <v>6846590.7300000004</v>
      </c>
    </row>
    <row r="72" spans="1:16" ht="15.75" thickBot="1">
      <c r="B72" s="472"/>
      <c r="C72" s="43" t="s">
        <v>88</v>
      </c>
      <c r="D72" s="26">
        <f>D68</f>
        <v>589424</v>
      </c>
      <c r="E72" s="27">
        <f t="shared" si="165"/>
        <v>1036748</v>
      </c>
      <c r="F72" s="27">
        <f t="shared" si="165"/>
        <v>1584669</v>
      </c>
      <c r="G72" s="27">
        <f t="shared" si="165"/>
        <v>2132590</v>
      </c>
      <c r="H72" s="27">
        <f t="shared" si="165"/>
        <v>2631632</v>
      </c>
      <c r="I72" s="27">
        <f t="shared" si="165"/>
        <v>3214885.35</v>
      </c>
      <c r="J72" s="27">
        <f t="shared" si="165"/>
        <v>4473480.3499999996</v>
      </c>
      <c r="K72" s="27">
        <f t="shared" si="165"/>
        <v>5177930.3499999996</v>
      </c>
      <c r="L72" s="27">
        <f t="shared" si="165"/>
        <v>5661379.6999999993</v>
      </c>
      <c r="M72" s="27">
        <f t="shared" si="165"/>
        <v>6325573.6099999994</v>
      </c>
      <c r="N72" s="27">
        <f t="shared" si="165"/>
        <v>6693695.4799999995</v>
      </c>
      <c r="O72" s="27">
        <f t="shared" si="165"/>
        <v>7365733.4799999995</v>
      </c>
    </row>
    <row r="73" spans="1:16">
      <c r="B73" s="470" t="s">
        <v>94</v>
      </c>
      <c r="C73" s="160" t="s">
        <v>305</v>
      </c>
      <c r="D73" s="138">
        <v>499309</v>
      </c>
      <c r="E73" s="138">
        <v>363666.93</v>
      </c>
      <c r="F73" s="406">
        <v>476529.13</v>
      </c>
      <c r="G73" s="406">
        <v>335604.97</v>
      </c>
      <c r="H73" s="406">
        <v>350836.44</v>
      </c>
      <c r="I73" s="406">
        <v>337176.63</v>
      </c>
      <c r="J73" s="406">
        <v>442942.18</v>
      </c>
      <c r="K73" s="279">
        <v>345983.6</v>
      </c>
      <c r="L73" s="406">
        <v>372795</v>
      </c>
      <c r="M73" s="406">
        <v>457403</v>
      </c>
      <c r="N73" s="406">
        <v>448570</v>
      </c>
      <c r="O73" s="138">
        <v>470250</v>
      </c>
    </row>
    <row r="74" spans="1:16">
      <c r="B74" s="471"/>
      <c r="C74" s="161" t="s">
        <v>87</v>
      </c>
      <c r="D74" s="142">
        <v>500313</v>
      </c>
      <c r="E74" s="143">
        <v>340343</v>
      </c>
      <c r="F74" s="27">
        <v>343439</v>
      </c>
      <c r="G74" s="411">
        <v>343439</v>
      </c>
      <c r="H74" s="411">
        <v>366547</v>
      </c>
      <c r="I74" s="411">
        <v>235799.94</v>
      </c>
      <c r="J74" s="27">
        <v>749315</v>
      </c>
      <c r="K74" s="437">
        <v>387242</v>
      </c>
      <c r="L74" s="27">
        <v>340850.84</v>
      </c>
      <c r="M74" s="276">
        <v>489705.29</v>
      </c>
      <c r="N74" s="276">
        <v>172806.53</v>
      </c>
      <c r="O74" s="276">
        <v>465897.68</v>
      </c>
    </row>
    <row r="75" spans="1:16">
      <c r="B75" s="471"/>
      <c r="C75" s="38" t="s">
        <v>306</v>
      </c>
      <c r="D75" s="41">
        <f>(D73/D74)-1</f>
        <v>-2.0067437783947151E-3</v>
      </c>
      <c r="E75" s="15">
        <f t="shared" ref="E75:F75" si="166">(E73/E74)-1</f>
        <v>6.8530658776587039E-2</v>
      </c>
      <c r="F75" s="15">
        <f t="shared" si="166"/>
        <v>0.38752188889438877</v>
      </c>
      <c r="G75" s="15">
        <f t="shared" ref="G75" si="167">(G73/G74)-1</f>
        <v>-2.2810542774699516E-2</v>
      </c>
      <c r="H75" s="15">
        <f t="shared" ref="H75:I75" si="168">(H73/H74)-1</f>
        <v>-4.2860970080235261E-2</v>
      </c>
      <c r="I75" s="15">
        <f t="shared" si="168"/>
        <v>0.42992669972689557</v>
      </c>
      <c r="J75" s="15">
        <f t="shared" ref="J75:K75" si="169">(J73/J74)-1</f>
        <v>-0.40887052841595328</v>
      </c>
      <c r="K75" s="15">
        <f t="shared" si="169"/>
        <v>-0.10654422815706976</v>
      </c>
      <c r="L75" s="15">
        <f t="shared" ref="L75:M75" si="170">(L73/L74)-1</f>
        <v>9.3718883016395083E-2</v>
      </c>
      <c r="M75" s="15">
        <f t="shared" si="170"/>
        <v>-6.5962714023366953E-2</v>
      </c>
      <c r="N75" s="15">
        <f t="shared" ref="N75:O75" si="171">(N73/N74)-1</f>
        <v>1.5957931103645215</v>
      </c>
      <c r="O75" s="15">
        <f t="shared" si="171"/>
        <v>9.3417936745252561E-3</v>
      </c>
    </row>
    <row r="76" spans="1:16">
      <c r="B76" s="471"/>
      <c r="C76" s="39" t="s">
        <v>307</v>
      </c>
      <c r="D76" s="42">
        <f>(D77/D78)-1</f>
        <v>-2.0067437783947151E-3</v>
      </c>
      <c r="E76" s="28">
        <f t="shared" ref="E76:F76" si="172">(E77/E78)-1</f>
        <v>2.6550610475628567E-2</v>
      </c>
      <c r="F76" s="28">
        <f t="shared" si="172"/>
        <v>0.13124796574599173</v>
      </c>
      <c r="G76" s="28">
        <f t="shared" ref="G76" si="173">(G77/G78)-1</f>
        <v>9.6610635180624405E-2</v>
      </c>
      <c r="H76" s="28">
        <f t="shared" ref="H76:I76" si="174">(H77/H78)-1</f>
        <v>6.9619762829572718E-2</v>
      </c>
      <c r="I76" s="28">
        <f t="shared" si="174"/>
        <v>0.10950948272254135</v>
      </c>
      <c r="J76" s="28">
        <f t="shared" ref="J76:K76" si="175">(J77/J78)-1</f>
        <v>-2.5399681551370845E-2</v>
      </c>
      <c r="K76" s="28">
        <f t="shared" si="175"/>
        <v>-3.5019511192672326E-2</v>
      </c>
      <c r="L76" s="28">
        <f t="shared" ref="L76:M76" si="176">(L77/L78)-1</f>
        <v>-2.2855087304654131E-2</v>
      </c>
      <c r="M76" s="28">
        <f t="shared" si="176"/>
        <v>-2.8007653425771162E-2</v>
      </c>
      <c r="N76" s="28">
        <f t="shared" ref="N76:O76" si="177">(N77/N78)-1</f>
        <v>3.7710491679635139E-2</v>
      </c>
      <c r="O76" s="28">
        <f t="shared" si="177"/>
        <v>3.4919581067567762E-2</v>
      </c>
    </row>
    <row r="77" spans="1:16">
      <c r="B77" s="471"/>
      <c r="C77" s="38" t="s">
        <v>308</v>
      </c>
      <c r="D77" s="8">
        <f>D73</f>
        <v>499309</v>
      </c>
      <c r="E77" s="9">
        <f t="shared" ref="E77:O78" si="178">D77+E73</f>
        <v>862975.92999999993</v>
      </c>
      <c r="F77" s="9">
        <f t="shared" si="178"/>
        <v>1339505.06</v>
      </c>
      <c r="G77" s="9">
        <f t="shared" si="178"/>
        <v>1675110.03</v>
      </c>
      <c r="H77" s="9">
        <f t="shared" si="178"/>
        <v>2025946.47</v>
      </c>
      <c r="I77" s="9">
        <f t="shared" si="178"/>
        <v>2363123.1</v>
      </c>
      <c r="J77" s="9">
        <f t="shared" si="178"/>
        <v>2806065.2800000003</v>
      </c>
      <c r="K77" s="9">
        <f t="shared" si="178"/>
        <v>3152048.8800000004</v>
      </c>
      <c r="L77" s="9">
        <f t="shared" si="178"/>
        <v>3524843.8800000004</v>
      </c>
      <c r="M77" s="9">
        <f t="shared" si="178"/>
        <v>3982246.8800000004</v>
      </c>
      <c r="N77" s="9">
        <f t="shared" si="178"/>
        <v>4430816.8800000008</v>
      </c>
      <c r="O77" s="9">
        <f t="shared" si="178"/>
        <v>4901066.8800000008</v>
      </c>
    </row>
    <row r="78" spans="1:16" ht="15.75" thickBot="1">
      <c r="B78" s="472"/>
      <c r="C78" s="43" t="s">
        <v>88</v>
      </c>
      <c r="D78" s="26">
        <f>D74</f>
        <v>500313</v>
      </c>
      <c r="E78" s="27">
        <f t="shared" si="178"/>
        <v>840656</v>
      </c>
      <c r="F78" s="27">
        <f t="shared" si="178"/>
        <v>1184095</v>
      </c>
      <c r="G78" s="27">
        <f t="shared" si="178"/>
        <v>1527534</v>
      </c>
      <c r="H78" s="27">
        <f t="shared" si="178"/>
        <v>1894081</v>
      </c>
      <c r="I78" s="27">
        <f t="shared" si="178"/>
        <v>2129880.94</v>
      </c>
      <c r="J78" s="27">
        <f t="shared" si="178"/>
        <v>2879195.94</v>
      </c>
      <c r="K78" s="27">
        <f t="shared" si="178"/>
        <v>3266437.94</v>
      </c>
      <c r="L78" s="27">
        <f t="shared" si="178"/>
        <v>3607288.78</v>
      </c>
      <c r="M78" s="27">
        <f t="shared" si="178"/>
        <v>4096994.07</v>
      </c>
      <c r="N78" s="27">
        <f t="shared" si="178"/>
        <v>4269800.5999999996</v>
      </c>
      <c r="O78" s="27">
        <f t="shared" si="178"/>
        <v>4735698.2799999993</v>
      </c>
    </row>
    <row r="79" spans="1:16">
      <c r="A79" s="476" t="s">
        <v>21</v>
      </c>
      <c r="B79" s="470" t="s">
        <v>22</v>
      </c>
      <c r="C79" s="46" t="s">
        <v>305</v>
      </c>
      <c r="D79" s="138">
        <v>1928</v>
      </c>
      <c r="E79" s="138">
        <v>95003.22</v>
      </c>
      <c r="F79" s="406">
        <v>563</v>
      </c>
      <c r="G79" s="406">
        <v>45676.03</v>
      </c>
      <c r="H79" s="406">
        <v>131377.12</v>
      </c>
      <c r="I79" s="406">
        <v>324.64</v>
      </c>
      <c r="J79" s="90">
        <v>58738.02</v>
      </c>
      <c r="K79" s="279">
        <v>81417.05</v>
      </c>
      <c r="L79" s="406">
        <v>57080</v>
      </c>
      <c r="M79" s="406">
        <v>31294</v>
      </c>
      <c r="N79" s="406">
        <v>55936</v>
      </c>
      <c r="O79" s="138">
        <v>114766</v>
      </c>
      <c r="P79" s="244">
        <v>7</v>
      </c>
    </row>
    <row r="80" spans="1:16" ht="15.75" thickBot="1">
      <c r="A80" s="477"/>
      <c r="B80" s="471"/>
      <c r="C80" s="161" t="s">
        <v>87</v>
      </c>
      <c r="D80" s="142">
        <v>248.39</v>
      </c>
      <c r="E80" s="143">
        <v>147142</v>
      </c>
      <c r="F80" s="27">
        <v>63779</v>
      </c>
      <c r="G80" s="411">
        <v>63779</v>
      </c>
      <c r="H80" s="411">
        <v>802</v>
      </c>
      <c r="I80" s="411">
        <v>66294</v>
      </c>
      <c r="J80" s="27">
        <v>171545</v>
      </c>
      <c r="K80" s="437">
        <v>92258</v>
      </c>
      <c r="L80" s="27">
        <v>4066</v>
      </c>
      <c r="M80" s="27">
        <v>361805</v>
      </c>
      <c r="N80" s="27">
        <v>71980</v>
      </c>
      <c r="O80" s="276">
        <v>73991</v>
      </c>
    </row>
    <row r="81" spans="1:15">
      <c r="B81" s="471"/>
      <c r="C81" s="38" t="s">
        <v>306</v>
      </c>
      <c r="D81" s="41">
        <f>(D79/D80)-1</f>
        <v>6.7619871975522372</v>
      </c>
      <c r="E81" s="15">
        <f t="shared" ref="E81:F81" si="179">(E79/E80)-1</f>
        <v>-0.3543432874366258</v>
      </c>
      <c r="F81" s="15">
        <f t="shared" si="179"/>
        <v>-0.99117264303297326</v>
      </c>
      <c r="G81" s="15">
        <f t="shared" ref="G81" si="180">(G79/G80)-1</f>
        <v>-0.2838390379278446</v>
      </c>
      <c r="H81" s="15">
        <f t="shared" ref="H81:I81" si="181">(H79/H80)-1</f>
        <v>162.81187032418953</v>
      </c>
      <c r="I81" s="15">
        <f t="shared" si="181"/>
        <v>-0.9951030259148641</v>
      </c>
      <c r="J81" s="15">
        <f t="shared" ref="J81:K81" si="182">(J79/J80)-1</f>
        <v>-0.65759410067329271</v>
      </c>
      <c r="K81" s="15">
        <f t="shared" si="182"/>
        <v>-0.11750688287194599</v>
      </c>
      <c r="L81" s="15">
        <f t="shared" ref="L81:M81" si="183">(L79/L80)-1</f>
        <v>13.038366945400885</v>
      </c>
      <c r="M81" s="15">
        <f t="shared" si="183"/>
        <v>-0.91350589405895444</v>
      </c>
      <c r="N81" s="15">
        <f t="shared" ref="N81:O81" si="184">(N79/N80)-1</f>
        <v>-0.22289524868018895</v>
      </c>
      <c r="O81" s="15">
        <f t="shared" si="184"/>
        <v>0.55108053682204594</v>
      </c>
    </row>
    <row r="82" spans="1:15">
      <c r="B82" s="471"/>
      <c r="C82" s="39" t="s">
        <v>307</v>
      </c>
      <c r="D82" s="42">
        <f>(D83/D84)-1</f>
        <v>6.7619871975522372</v>
      </c>
      <c r="E82" s="28">
        <f t="shared" ref="E82:F82" si="185">(E83/E84)-1</f>
        <v>-0.34235047481725234</v>
      </c>
      <c r="F82" s="28">
        <f t="shared" si="185"/>
        <v>-0.53831272610106984</v>
      </c>
      <c r="G82" s="28">
        <f t="shared" ref="G82" si="186">(G83/G84)-1</f>
        <v>-0.47928318474605369</v>
      </c>
      <c r="H82" s="28">
        <f t="shared" ref="H82:I82" si="187">(H83/H84)-1</f>
        <v>-4.362713684648023E-3</v>
      </c>
      <c r="I82" s="28">
        <f t="shared" si="187"/>
        <v>-0.19638497798487498</v>
      </c>
      <c r="J82" s="28">
        <f t="shared" ref="J82:K82" si="188">(J83/J84)-1</f>
        <v>-0.35043434211131186</v>
      </c>
      <c r="K82" s="28">
        <f t="shared" si="188"/>
        <v>-0.31496431799433844</v>
      </c>
      <c r="L82" s="28">
        <f t="shared" ref="L82:M82" si="189">(L83/L84)-1</f>
        <v>-0.22594406395963862</v>
      </c>
      <c r="M82" s="28">
        <f t="shared" si="189"/>
        <v>-0.48194756301771746</v>
      </c>
      <c r="N82" s="28">
        <f t="shared" ref="N82:O82" si="190">(N83/N84)-1</f>
        <v>-0.46408168743079115</v>
      </c>
      <c r="O82" s="28">
        <f t="shared" si="190"/>
        <v>-0.39687798235250316</v>
      </c>
    </row>
    <row r="83" spans="1:15">
      <c r="B83" s="471"/>
      <c r="C83" s="38" t="s">
        <v>308</v>
      </c>
      <c r="D83" s="8">
        <f>D79</f>
        <v>1928</v>
      </c>
      <c r="E83" s="9">
        <f t="shared" ref="E83:O84" si="191">D83+E79</f>
        <v>96931.22</v>
      </c>
      <c r="F83" s="9">
        <f t="shared" si="191"/>
        <v>97494.22</v>
      </c>
      <c r="G83" s="9">
        <f t="shared" si="191"/>
        <v>143170.25</v>
      </c>
      <c r="H83" s="9">
        <f t="shared" si="191"/>
        <v>274547.37</v>
      </c>
      <c r="I83" s="9">
        <f t="shared" si="191"/>
        <v>274872.01</v>
      </c>
      <c r="J83" s="9">
        <f t="shared" si="191"/>
        <v>333610.03000000003</v>
      </c>
      <c r="K83" s="9">
        <f t="shared" si="191"/>
        <v>415027.08</v>
      </c>
      <c r="L83" s="9">
        <f t="shared" si="191"/>
        <v>472107.08</v>
      </c>
      <c r="M83" s="9">
        <f t="shared" si="191"/>
        <v>503401.08</v>
      </c>
      <c r="N83" s="9">
        <f t="shared" si="191"/>
        <v>559337.08000000007</v>
      </c>
      <c r="O83" s="9">
        <f t="shared" si="191"/>
        <v>674103.08000000007</v>
      </c>
    </row>
    <row r="84" spans="1:15" ht="15.75" thickBot="1">
      <c r="B84" s="472"/>
      <c r="C84" s="43" t="s">
        <v>88</v>
      </c>
      <c r="D84" s="26">
        <f>D80</f>
        <v>248.39</v>
      </c>
      <c r="E84" s="27">
        <f t="shared" si="191"/>
        <v>147390.39000000001</v>
      </c>
      <c r="F84" s="27">
        <f t="shared" si="191"/>
        <v>211169.39</v>
      </c>
      <c r="G84" s="27">
        <f t="shared" si="191"/>
        <v>274948.39</v>
      </c>
      <c r="H84" s="27">
        <f t="shared" si="191"/>
        <v>275750.39</v>
      </c>
      <c r="I84" s="27">
        <f t="shared" si="191"/>
        <v>342044.39</v>
      </c>
      <c r="J84" s="27">
        <f t="shared" si="191"/>
        <v>513589.39</v>
      </c>
      <c r="K84" s="27">
        <f t="shared" si="191"/>
        <v>605847.39</v>
      </c>
      <c r="L84" s="27">
        <f t="shared" si="191"/>
        <v>609913.39</v>
      </c>
      <c r="M84" s="27">
        <f t="shared" si="191"/>
        <v>971718.39</v>
      </c>
      <c r="N84" s="27">
        <f t="shared" si="191"/>
        <v>1043698.39</v>
      </c>
      <c r="O84" s="27">
        <f t="shared" si="191"/>
        <v>1117689.3900000001</v>
      </c>
    </row>
    <row r="85" spans="1:15">
      <c r="B85" s="518" t="s">
        <v>92</v>
      </c>
      <c r="C85" s="44" t="s">
        <v>20</v>
      </c>
      <c r="D85" s="45">
        <f t="shared" ref="D85:E85" si="192">(D67/D55)</f>
        <v>0.40707665727179632</v>
      </c>
      <c r="E85" s="45">
        <f t="shared" si="192"/>
        <v>0.41840896396897043</v>
      </c>
      <c r="F85" s="45">
        <f t="shared" ref="F85:G85" si="193">(F67/F55)</f>
        <v>0.37483427831051253</v>
      </c>
      <c r="G85" s="45">
        <f t="shared" si="193"/>
        <v>0.31943402867568421</v>
      </c>
      <c r="H85" s="45">
        <f t="shared" ref="H85:I85" si="194">(H67/H55)</f>
        <v>0.35867905465801564</v>
      </c>
      <c r="I85" s="45">
        <f t="shared" si="194"/>
        <v>0.35792152209477668</v>
      </c>
      <c r="J85" s="45">
        <f t="shared" ref="J85:K85" si="195">(J67/J55)</f>
        <v>0.39091476430981481</v>
      </c>
      <c r="K85" s="45">
        <f t="shared" si="195"/>
        <v>0.31637944615014929</v>
      </c>
      <c r="L85" s="45">
        <f t="shared" ref="L85:M85" si="196">(L67/L55)</f>
        <v>0.25930803649915135</v>
      </c>
      <c r="M85" s="45">
        <f t="shared" si="196"/>
        <v>0.380849291248822</v>
      </c>
      <c r="N85" s="45">
        <f t="shared" ref="N85:O85" si="197">(N67/N55)</f>
        <v>0.25475576034925834</v>
      </c>
      <c r="O85" s="45">
        <f t="shared" si="197"/>
        <v>0.40531871126940733</v>
      </c>
    </row>
    <row r="86" spans="1:15">
      <c r="B86" s="506"/>
      <c r="C86" s="46" t="s">
        <v>320</v>
      </c>
      <c r="D86" s="47">
        <f t="shared" ref="D86:E87" si="198">D71/D59</f>
        <v>0.40707665727179632</v>
      </c>
      <c r="E86" s="47">
        <f t="shared" si="198"/>
        <v>0.41235554497663296</v>
      </c>
      <c r="F86" s="47">
        <f t="shared" ref="F86:G86" si="199">F71/F59</f>
        <v>0.39997866258842207</v>
      </c>
      <c r="G86" s="47">
        <f t="shared" si="199"/>
        <v>0.37905276457331716</v>
      </c>
      <c r="H86" s="47">
        <f t="shared" ref="H86:I86" si="200">H71/H59</f>
        <v>0.37470923791130084</v>
      </c>
      <c r="I86" s="47">
        <f t="shared" si="200"/>
        <v>0.37169199218656018</v>
      </c>
      <c r="J86" s="47">
        <f t="shared" ref="J86:K86" si="201">J71/J59</f>
        <v>0.37479934247183766</v>
      </c>
      <c r="K86" s="47">
        <f t="shared" si="201"/>
        <v>0.36675189782365775</v>
      </c>
      <c r="L86" s="47">
        <f t="shared" ref="L86:M86" si="202">L71/L59</f>
        <v>0.35311758829253131</v>
      </c>
      <c r="M86" s="47">
        <f t="shared" si="202"/>
        <v>0.35571487788447881</v>
      </c>
      <c r="N86" s="47">
        <f t="shared" ref="N86:O86" si="203">N71/N59</f>
        <v>0.34728462331107124</v>
      </c>
      <c r="O86" s="47">
        <f t="shared" si="203"/>
        <v>0.35320898463139949</v>
      </c>
    </row>
    <row r="87" spans="1:15" ht="15.75" thickBot="1">
      <c r="B87" s="507"/>
      <c r="C87" s="48" t="s">
        <v>89</v>
      </c>
      <c r="D87" s="49">
        <f t="shared" ref="D87" si="204">D72/D60</f>
        <v>0.48608119386048537</v>
      </c>
      <c r="E87" s="49">
        <f t="shared" si="198"/>
        <v>0.43935045083566798</v>
      </c>
      <c r="F87" s="49">
        <f t="shared" ref="F87:G87" si="205">F72/F60</f>
        <v>0.4420020936029635</v>
      </c>
      <c r="G87" s="49">
        <f t="shared" si="205"/>
        <v>0.44330277288993147</v>
      </c>
      <c r="H87" s="49">
        <f t="shared" ref="H87:I87" si="206">H72/H60</f>
        <v>0.43421355272323958</v>
      </c>
      <c r="I87" s="49">
        <f t="shared" si="206"/>
        <v>0.4387251829115974</v>
      </c>
      <c r="J87" s="49">
        <f t="shared" ref="J87:K87" si="207">J72/J60</f>
        <v>0.50491749018279086</v>
      </c>
      <c r="K87" s="49">
        <f t="shared" si="207"/>
        <v>0.49770876907266465</v>
      </c>
      <c r="L87" s="49">
        <f t="shared" ref="L87:M87" si="208">L72/L60</f>
        <v>0.47695726954879863</v>
      </c>
      <c r="M87" s="49">
        <f t="shared" si="208"/>
        <v>0.47438095084357246</v>
      </c>
      <c r="N87" s="49">
        <f t="shared" ref="N87:O87" si="209">N72/N60</f>
        <v>0.45802622674164334</v>
      </c>
      <c r="O87" s="49">
        <f t="shared" si="209"/>
        <v>0.46256610779698659</v>
      </c>
    </row>
    <row r="88" spans="1:15">
      <c r="B88" s="504" t="s">
        <v>74</v>
      </c>
      <c r="C88" s="44" t="s">
        <v>20</v>
      </c>
      <c r="D88" s="45">
        <f t="shared" ref="D88:E88" si="210">D79/D61</f>
        <v>3.5554244195695868E-2</v>
      </c>
      <c r="E88" s="45">
        <f t="shared" si="210"/>
        <v>1.9247052464471144</v>
      </c>
      <c r="F88" s="45">
        <f t="shared" ref="F88:G88" si="211">F79/F61</f>
        <v>7.8972321814315457E-3</v>
      </c>
      <c r="G88" s="45">
        <f t="shared" si="211"/>
        <v>0.48634386797299528</v>
      </c>
      <c r="H88" s="45">
        <f t="shared" ref="H88:I88" si="212">H79/H61</f>
        <v>1.462342410451269</v>
      </c>
      <c r="I88" s="45">
        <f t="shared" si="212"/>
        <v>3.8733847971078469E-3</v>
      </c>
      <c r="J88" s="45">
        <f t="shared" ref="J88:K88" si="213">J79/J61</f>
        <v>0.61459939356226767</v>
      </c>
      <c r="K88" s="45">
        <f t="shared" si="213"/>
        <v>0.95352224579372769</v>
      </c>
      <c r="L88" s="45">
        <f t="shared" ref="L88:M88" si="214">L79/L61</f>
        <v>0.61108223541761131</v>
      </c>
      <c r="M88" s="45">
        <f t="shared" si="214"/>
        <v>4.1089229870003019E-3</v>
      </c>
      <c r="N88" s="45">
        <f t="shared" ref="N88:O88" si="215">N79/N61</f>
        <v>0.89440115049255542</v>
      </c>
      <c r="O88" s="45">
        <f t="shared" si="215"/>
        <v>0.70115124897797387</v>
      </c>
    </row>
    <row r="89" spans="1:15">
      <c r="B89" s="505"/>
      <c r="C89" s="46" t="s">
        <v>320</v>
      </c>
      <c r="D89" s="47">
        <f t="shared" ref="D89:E90" si="216">D83/D65</f>
        <v>3.5554244195695868E-2</v>
      </c>
      <c r="E89" s="47">
        <f t="shared" si="216"/>
        <v>0.93574804067851058</v>
      </c>
      <c r="F89" s="47">
        <f t="shared" ref="F89:G89" si="217">F83/F65</f>
        <v>0.55749950479672428</v>
      </c>
      <c r="G89" s="47">
        <f t="shared" si="217"/>
        <v>0.53263766271099777</v>
      </c>
      <c r="H89" s="47">
        <f t="shared" ref="H89:I89" si="218">H83/H65</f>
        <v>0.76553419127892186</v>
      </c>
      <c r="I89" s="47">
        <f t="shared" si="218"/>
        <v>0.62125266149908409</v>
      </c>
      <c r="J89" s="47">
        <f t="shared" ref="J89:K89" si="219">J83/J65</f>
        <v>0.62007080601669928</v>
      </c>
      <c r="K89" s="47">
        <f t="shared" si="219"/>
        <v>0.66574248390087076</v>
      </c>
      <c r="L89" s="47">
        <f t="shared" ref="L89:M89" si="220">L83/L65</f>
        <v>0.65861969444522273</v>
      </c>
      <c r="M89" s="47">
        <f t="shared" si="220"/>
        <v>6.041112178702656E-2</v>
      </c>
      <c r="N89" s="47">
        <f t="shared" ref="N89:O89" si="221">N83/N65</f>
        <v>6.6623750221213293E-2</v>
      </c>
      <c r="O89" s="47">
        <f t="shared" si="221"/>
        <v>7.8758245022330503E-2</v>
      </c>
    </row>
    <row r="90" spans="1:15" ht="15.75" thickBot="1">
      <c r="B90" s="519"/>
      <c r="C90" s="48" t="s">
        <v>89</v>
      </c>
      <c r="D90" s="49">
        <f t="shared" ref="D90" si="222">D84/D66</f>
        <v>1.763306972583874E-3</v>
      </c>
      <c r="E90" s="49">
        <f t="shared" si="216"/>
        <v>0.63731148575900798</v>
      </c>
      <c r="F90" s="49">
        <f t="shared" ref="F90:G90" si="223">F84/F66</f>
        <v>0.65280710648913842</v>
      </c>
      <c r="G90" s="49">
        <f t="shared" si="223"/>
        <v>0.66142811091946141</v>
      </c>
      <c r="H90" s="49">
        <f t="shared" ref="H90:I90" si="224">H84/H66</f>
        <v>0.56431294101275353</v>
      </c>
      <c r="I90" s="49">
        <f t="shared" si="224"/>
        <v>0.55241096496820452</v>
      </c>
      <c r="J90" s="49">
        <f t="shared" ref="J90:K90" si="225">J84/J66</f>
        <v>0.68298037195406036</v>
      </c>
      <c r="K90" s="49">
        <f t="shared" si="225"/>
        <v>0.70212676893451442</v>
      </c>
      <c r="L90" s="49">
        <f t="shared" ref="L90:M90" si="226">L84/L66</f>
        <v>0.60697427488717037</v>
      </c>
      <c r="M90" s="49">
        <f t="shared" si="226"/>
        <v>0.87220196831712937</v>
      </c>
      <c r="N90" s="49">
        <f t="shared" ref="N90:O90" si="227">N84/N66</f>
        <v>0.86569908394429973</v>
      </c>
      <c r="O90" s="49">
        <f t="shared" si="227"/>
        <v>0.85249994683742492</v>
      </c>
    </row>
    <row r="91" spans="1:15">
      <c r="B91" s="505" t="s">
        <v>75</v>
      </c>
      <c r="C91" s="44" t="s">
        <v>20</v>
      </c>
      <c r="D91" s="45">
        <f>(D67)/(D61+D55)</f>
        <v>0.39340527035839901</v>
      </c>
      <c r="E91" s="45">
        <f t="shared" ref="E91:F91" si="228">(E67)/(E61+E55)</f>
        <v>0.40376307205421985</v>
      </c>
      <c r="F91" s="45">
        <f t="shared" si="228"/>
        <v>0.35712803565261869</v>
      </c>
      <c r="G91" s="45">
        <f t="shared" ref="G91" si="229">(G67)/(G61+G55)</f>
        <v>0.30096026129301628</v>
      </c>
      <c r="H91" s="45">
        <f t="shared" ref="H91:I91" si="230">(H67)/(H61+H55)</f>
        <v>0.33956143069749473</v>
      </c>
      <c r="I91" s="45">
        <f t="shared" si="230"/>
        <v>0.34051915633687124</v>
      </c>
      <c r="J91" s="45">
        <f t="shared" ref="J91:K91" si="231">(J67)/(J61+J55)</f>
        <v>0.37077459844565025</v>
      </c>
      <c r="K91" s="45">
        <f t="shared" si="231"/>
        <v>0.30157100653492314</v>
      </c>
      <c r="L91" s="45">
        <f t="shared" ref="L91:M91" si="232">(L67)/(L61+L55)</f>
        <v>0.24674543067388532</v>
      </c>
      <c r="M91" s="45">
        <f t="shared" si="232"/>
        <v>6.2457254810146481E-2</v>
      </c>
      <c r="N91" s="45">
        <f t="shared" ref="N91:O91" si="233">(N67)/(N61+N55)</f>
        <v>0.2442455289110172</v>
      </c>
      <c r="O91" s="45">
        <f t="shared" si="233"/>
        <v>0.37435294788448059</v>
      </c>
    </row>
    <row r="92" spans="1:15">
      <c r="B92" s="505"/>
      <c r="C92" s="46" t="s">
        <v>320</v>
      </c>
      <c r="D92" s="47">
        <f>(D71)/(D65+D59)</f>
        <v>0.39340527035839901</v>
      </c>
      <c r="E92" s="47">
        <f t="shared" ref="E92:F93" si="234">(E71)/(E65+E59)</f>
        <v>0.39823399647681212</v>
      </c>
      <c r="F92" s="47">
        <f t="shared" si="234"/>
        <v>0.38455130916646418</v>
      </c>
      <c r="G92" s="47">
        <f t="shared" ref="G92" si="235">(G71)/(G65+G59)</f>
        <v>0.36250702292256043</v>
      </c>
      <c r="H92" s="47">
        <f t="shared" ref="H92:I92" si="236">(H71)/(H65+H59)</f>
        <v>0.35757604203519605</v>
      </c>
      <c r="I92" s="47">
        <f t="shared" si="236"/>
        <v>0.35450276649211032</v>
      </c>
      <c r="J92" s="47">
        <f t="shared" ref="J92:K92" si="237">(J71)/(J65+J59)</f>
        <v>0.35714535126054836</v>
      </c>
      <c r="K92" s="47">
        <f t="shared" si="237"/>
        <v>0.34949194023283087</v>
      </c>
      <c r="L92" s="47">
        <f t="shared" ref="L92:M92" si="238">(L71)/(L65+L59)</f>
        <v>0.33643714495559723</v>
      </c>
      <c r="M92" s="47">
        <f t="shared" si="238"/>
        <v>0.23365694689039571</v>
      </c>
      <c r="N92" s="47">
        <f t="shared" ref="N92:O92" si="239">(N71)/(N65+N59)</f>
        <v>0.23427907278903742</v>
      </c>
      <c r="O92" s="47">
        <f t="shared" si="239"/>
        <v>0.24501893782871906</v>
      </c>
    </row>
    <row r="93" spans="1:15" ht="15.75" thickBot="1">
      <c r="B93" s="519"/>
      <c r="C93" s="48" t="s">
        <v>89</v>
      </c>
      <c r="D93" s="49">
        <f>(D72)/(D66+D60)</f>
        <v>0.43549099721456702</v>
      </c>
      <c r="E93" s="49">
        <f t="shared" si="234"/>
        <v>0.40013461994181393</v>
      </c>
      <c r="F93" s="49">
        <f t="shared" si="234"/>
        <v>0.40542243608210021</v>
      </c>
      <c r="G93" s="49">
        <f t="shared" ref="G93:H93" si="240">(G72)/(G66+G60)</f>
        <v>0.40804389429459126</v>
      </c>
      <c r="H93" s="49">
        <f t="shared" si="240"/>
        <v>0.40181673434275911</v>
      </c>
      <c r="I93" s="49">
        <f t="shared" ref="I93:J93" si="241">(I72)/(I66+I60)</f>
        <v>0.40454211802640855</v>
      </c>
      <c r="J93" s="49">
        <f t="shared" si="241"/>
        <v>0.46541511707296368</v>
      </c>
      <c r="K93" s="49">
        <f t="shared" ref="K93:L93" si="242">(K72)/(K66+K60)</f>
        <v>0.45959012148959633</v>
      </c>
      <c r="L93" s="49">
        <f t="shared" si="242"/>
        <v>0.43973158179715988</v>
      </c>
      <c r="M93" s="49">
        <f t="shared" ref="M93:N93" si="243">(M72)/(M66+M60)</f>
        <v>0.43780221895778498</v>
      </c>
      <c r="N93" s="49">
        <f t="shared" si="243"/>
        <v>0.42312051232675091</v>
      </c>
      <c r="O93" s="49">
        <f t="shared" ref="O93" si="244">(O72)/(O66+O60)</f>
        <v>0.42737793825602544</v>
      </c>
    </row>
    <row r="94" spans="1:15">
      <c r="A94" s="214"/>
      <c r="B94" s="236" t="s">
        <v>84</v>
      </c>
      <c r="C94" s="197">
        <v>932616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</row>
    <row r="95" spans="1:15">
      <c r="A95" s="215"/>
      <c r="B95" s="468" t="s">
        <v>85</v>
      </c>
      <c r="C95" s="193"/>
      <c r="D95" s="194">
        <f>(D7*1000)/($C$94*30.4)</f>
        <v>5.4012612174560033</v>
      </c>
      <c r="E95" s="194">
        <f t="shared" ref="E95:F95" si="245">(E7*1000)/($C$94*30.4)</f>
        <v>4.8949040006537361</v>
      </c>
      <c r="F95" s="194">
        <f t="shared" si="245"/>
        <v>5.5664727808094314</v>
      </c>
      <c r="G95" s="194">
        <f t="shared" ref="G95" si="246">(G7*1000)/($C$94*30.4)</f>
        <v>5.3849657985257542</v>
      </c>
      <c r="H95" s="194">
        <f t="shared" ref="H95:K95" si="247">(H7*1000)/($C$94*30.4)</f>
        <v>5.501925991540265</v>
      </c>
      <c r="I95" s="194">
        <f t="shared" si="247"/>
        <v>5.935235994912782</v>
      </c>
      <c r="J95" s="194">
        <f t="shared" si="247"/>
        <v>5.9986893686260228</v>
      </c>
      <c r="K95" s="194">
        <f t="shared" si="247"/>
        <v>5.7928450723556111</v>
      </c>
      <c r="L95" s="194">
        <f t="shared" ref="L95:M95" si="248">(L7*1000)/($C$94*30.4)</f>
        <v>5.5801228395237308</v>
      </c>
      <c r="M95" s="194">
        <f t="shared" si="248"/>
        <v>5.2144635147404275</v>
      </c>
      <c r="N95" s="194">
        <f t="shared" ref="N95:O95" si="249">(N7*1000)/($C$94*30.4)</f>
        <v>4.2278852400694733</v>
      </c>
      <c r="O95" s="194">
        <f t="shared" si="249"/>
        <v>4.579189076747558</v>
      </c>
    </row>
    <row r="96" spans="1:15" ht="10.5" customHeight="1">
      <c r="A96" s="215"/>
      <c r="B96" s="469"/>
      <c r="C96" s="192"/>
      <c r="D96" s="195"/>
      <c r="E96" s="196"/>
      <c r="F96" s="196"/>
      <c r="G96" s="196"/>
      <c r="H96" s="195"/>
      <c r="I96" s="195"/>
      <c r="J96" s="196"/>
      <c r="K96" s="196"/>
      <c r="L96" s="196"/>
      <c r="M96" s="196"/>
      <c r="N96" s="196"/>
      <c r="O96" s="196"/>
    </row>
    <row r="97" spans="1:28">
      <c r="A97" s="215"/>
      <c r="B97" s="468" t="s">
        <v>86</v>
      </c>
      <c r="C97" s="213"/>
      <c r="D97" s="460" t="e">
        <f t="shared" ref="D97:E97" si="250">((D13+D25)*1000)/($C$94*30.4)</f>
        <v>#VALUE!</v>
      </c>
      <c r="E97" s="460" t="e">
        <f t="shared" si="250"/>
        <v>#VALUE!</v>
      </c>
      <c r="F97" s="460" t="e">
        <f t="shared" ref="F97:G97" si="251">((F13+F25)*1000)/($C$94*30.4)</f>
        <v>#VALUE!</v>
      </c>
      <c r="G97" s="460" t="e">
        <f t="shared" si="251"/>
        <v>#VALUE!</v>
      </c>
      <c r="H97" s="460" t="e">
        <f t="shared" ref="H97:I97" si="252">((H13+H25)*1000)/($C$94*30.4)</f>
        <v>#VALUE!</v>
      </c>
      <c r="I97" s="460" t="e">
        <f t="shared" si="252"/>
        <v>#VALUE!</v>
      </c>
      <c r="J97" s="460" t="e">
        <f t="shared" ref="J97:O97" si="253">((J13+J25)*1000)/($C$94*30.4)</f>
        <v>#VALUE!</v>
      </c>
      <c r="K97" s="460" t="e">
        <f t="shared" si="253"/>
        <v>#VALUE!</v>
      </c>
      <c r="L97" s="460" t="e">
        <f t="shared" si="253"/>
        <v>#VALUE!</v>
      </c>
      <c r="M97" s="460" t="e">
        <f t="shared" si="253"/>
        <v>#VALUE!</v>
      </c>
      <c r="N97" s="460" t="e">
        <f t="shared" ref="N97" si="254">((N13+N25)*1000)/($C$94*30.4)</f>
        <v>#VALUE!</v>
      </c>
      <c r="O97" s="460" t="e">
        <f t="shared" si="253"/>
        <v>#VALUE!</v>
      </c>
    </row>
    <row r="98" spans="1:28" ht="15.75" thickBot="1">
      <c r="A98" s="216"/>
      <c r="B98" s="469"/>
      <c r="C98" s="192"/>
      <c r="D98" s="461"/>
      <c r="E98" s="461"/>
      <c r="F98" s="461"/>
      <c r="G98" s="461"/>
      <c r="H98" s="462"/>
      <c r="I98" s="462"/>
      <c r="J98" s="462"/>
      <c r="K98" s="462"/>
      <c r="L98" s="462"/>
      <c r="M98" s="462"/>
      <c r="N98" s="462"/>
      <c r="O98" s="462"/>
    </row>
    <row r="99" spans="1:28" ht="15.75">
      <c r="B99" s="504" t="s">
        <v>95</v>
      </c>
      <c r="C99" s="227" t="s">
        <v>97</v>
      </c>
      <c r="D99" s="217"/>
      <c r="E99" s="217"/>
      <c r="F99" s="217">
        <v>3445</v>
      </c>
      <c r="G99" s="217"/>
      <c r="H99" s="430"/>
      <c r="I99" s="430">
        <v>4037</v>
      </c>
      <c r="J99" s="430">
        <v>4585</v>
      </c>
      <c r="K99" s="217">
        <v>5034</v>
      </c>
      <c r="L99" s="445">
        <v>3257</v>
      </c>
      <c r="M99" s="430">
        <v>2886</v>
      </c>
      <c r="N99" s="217">
        <v>3900</v>
      </c>
      <c r="O99" s="217">
        <v>3280</v>
      </c>
    </row>
    <row r="100" spans="1:28" ht="15.75">
      <c r="B100" s="505"/>
      <c r="C100" s="228" t="s">
        <v>96</v>
      </c>
      <c r="D100" s="218"/>
      <c r="E100" s="218"/>
      <c r="F100" s="218">
        <v>150</v>
      </c>
      <c r="G100" s="218"/>
      <c r="H100" s="431"/>
      <c r="I100" s="431">
        <v>150</v>
      </c>
      <c r="J100" s="431">
        <v>123</v>
      </c>
      <c r="K100" s="218">
        <v>221</v>
      </c>
      <c r="L100" s="446">
        <v>174</v>
      </c>
      <c r="M100" s="431">
        <v>159</v>
      </c>
      <c r="N100" s="218">
        <v>182</v>
      </c>
      <c r="O100" s="218">
        <v>182</v>
      </c>
    </row>
    <row r="101" spans="1:28" ht="18.75">
      <c r="B101" s="505"/>
      <c r="C101" s="229" t="s">
        <v>98</v>
      </c>
      <c r="D101" s="219"/>
      <c r="E101" s="219"/>
      <c r="F101" s="219">
        <v>4</v>
      </c>
      <c r="G101" s="219"/>
      <c r="H101" s="431"/>
      <c r="I101" s="431">
        <v>4</v>
      </c>
      <c r="J101" s="431">
        <v>4</v>
      </c>
      <c r="K101" s="219">
        <v>8</v>
      </c>
      <c r="L101" s="446">
        <v>6</v>
      </c>
      <c r="M101" s="431">
        <v>5</v>
      </c>
      <c r="N101" s="219">
        <v>6</v>
      </c>
      <c r="O101" s="455">
        <v>2</v>
      </c>
    </row>
    <row r="102" spans="1:28" ht="15.75">
      <c r="B102" s="505"/>
      <c r="C102" s="228" t="s">
        <v>101</v>
      </c>
      <c r="D102" s="218"/>
      <c r="E102" s="218"/>
      <c r="F102" s="218">
        <v>33</v>
      </c>
      <c r="G102" s="218"/>
      <c r="H102" s="431"/>
      <c r="I102" s="431">
        <v>33</v>
      </c>
      <c r="J102" s="431">
        <v>33</v>
      </c>
      <c r="K102" s="218">
        <v>34</v>
      </c>
      <c r="L102" s="446">
        <v>36</v>
      </c>
      <c r="M102" s="431">
        <v>36</v>
      </c>
      <c r="N102" s="218">
        <v>33</v>
      </c>
      <c r="O102" s="218">
        <v>33</v>
      </c>
    </row>
    <row r="103" spans="1:28" ht="16.5" thickBot="1">
      <c r="B103" s="505"/>
      <c r="C103" s="228" t="s">
        <v>99</v>
      </c>
      <c r="D103" s="218"/>
      <c r="E103" s="218"/>
      <c r="F103" s="218">
        <v>67</v>
      </c>
      <c r="G103" s="218"/>
      <c r="H103" s="431"/>
      <c r="I103" s="431">
        <v>67</v>
      </c>
      <c r="J103" s="431">
        <v>9</v>
      </c>
      <c r="K103" s="218">
        <v>30</v>
      </c>
      <c r="L103" s="446">
        <v>62</v>
      </c>
      <c r="M103" s="431">
        <v>66</v>
      </c>
      <c r="N103" s="218">
        <v>10</v>
      </c>
      <c r="O103" s="218">
        <v>10</v>
      </c>
    </row>
    <row r="104" spans="1:28" ht="15.75">
      <c r="B104" s="506"/>
      <c r="C104" s="220" t="s">
        <v>308</v>
      </c>
      <c r="D104" s="221">
        <f t="shared" ref="D104:K104" si="255">SUM(D99:D103)</f>
        <v>0</v>
      </c>
      <c r="E104" s="221">
        <f t="shared" si="255"/>
        <v>0</v>
      </c>
      <c r="F104" s="221">
        <f t="shared" si="255"/>
        <v>3699</v>
      </c>
      <c r="G104" s="221">
        <f t="shared" si="255"/>
        <v>0</v>
      </c>
      <c r="H104" s="430">
        <f t="shared" si="255"/>
        <v>0</v>
      </c>
      <c r="I104" s="430">
        <f t="shared" si="255"/>
        <v>4291</v>
      </c>
      <c r="J104" s="430">
        <f t="shared" si="255"/>
        <v>4754</v>
      </c>
      <c r="K104" s="430">
        <f t="shared" si="255"/>
        <v>5327</v>
      </c>
      <c r="L104" s="221">
        <f t="shared" ref="L104:M104" si="256">SUM(L99:L103)</f>
        <v>3535</v>
      </c>
      <c r="M104" s="221">
        <f t="shared" si="256"/>
        <v>3152</v>
      </c>
      <c r="N104" s="221">
        <f t="shared" ref="N104:O104" si="257">SUM(N99:N103)</f>
        <v>4131</v>
      </c>
      <c r="O104" s="221">
        <f t="shared" si="257"/>
        <v>3507</v>
      </c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</row>
    <row r="105" spans="1:28" ht="15.75">
      <c r="B105" s="506"/>
      <c r="C105" s="230" t="s">
        <v>88</v>
      </c>
      <c r="D105" s="218"/>
      <c r="E105" s="218">
        <v>3429</v>
      </c>
      <c r="F105" s="218">
        <v>3351</v>
      </c>
      <c r="G105" s="218"/>
      <c r="H105" s="431"/>
      <c r="I105" s="431"/>
      <c r="J105" s="435">
        <v>3379</v>
      </c>
      <c r="K105" s="218">
        <v>3078</v>
      </c>
      <c r="L105" s="431"/>
      <c r="M105" s="435"/>
      <c r="N105" s="435"/>
      <c r="O105" s="218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</row>
    <row r="106" spans="1:28" ht="15.75">
      <c r="B106" s="506"/>
      <c r="C106" s="230" t="s">
        <v>68</v>
      </c>
      <c r="D106" s="218"/>
      <c r="E106" s="218"/>
      <c r="F106" s="218"/>
      <c r="G106" s="218"/>
      <c r="H106" s="431"/>
      <c r="I106" s="431"/>
      <c r="J106" s="435"/>
      <c r="K106" s="218"/>
      <c r="L106" s="218"/>
      <c r="M106" s="222"/>
      <c r="N106" s="222"/>
      <c r="O106" s="218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</row>
    <row r="107" spans="1:28" ht="15.75">
      <c r="B107" s="506"/>
      <c r="C107" s="163" t="s">
        <v>16</v>
      </c>
      <c r="D107" s="219"/>
      <c r="E107" s="219"/>
      <c r="F107" s="219"/>
      <c r="G107" s="219"/>
      <c r="H107" s="219"/>
      <c r="I107" s="431"/>
      <c r="J107" s="435"/>
      <c r="K107" s="219"/>
      <c r="L107" s="219"/>
      <c r="M107" s="223"/>
      <c r="N107" s="223"/>
      <c r="O107" s="219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</row>
    <row r="108" spans="1:28" ht="16.5" thickBot="1">
      <c r="B108" s="507"/>
      <c r="C108" s="231" t="s">
        <v>100</v>
      </c>
      <c r="D108" s="224"/>
      <c r="E108" s="224"/>
      <c r="F108" s="224"/>
      <c r="G108" s="224"/>
      <c r="H108" s="224"/>
      <c r="I108" s="224"/>
      <c r="J108" s="436"/>
      <c r="K108" s="225"/>
      <c r="L108" s="225"/>
      <c r="M108" s="226"/>
      <c r="N108" s="226"/>
      <c r="O108" s="224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</row>
    <row r="109" spans="1:28" ht="15.75" thickTop="1">
      <c r="A109" s="520" t="s">
        <v>14</v>
      </c>
      <c r="B109" s="521" t="s">
        <v>24</v>
      </c>
      <c r="C109" s="268" t="s">
        <v>305</v>
      </c>
      <c r="D109" s="198">
        <f>+PIGOO!B87</f>
        <v>0</v>
      </c>
      <c r="E109" s="198">
        <f>+PIGOO!C87</f>
        <v>0</v>
      </c>
      <c r="F109" s="198">
        <f>+PIGOO!D87</f>
        <v>0</v>
      </c>
      <c r="G109" s="198">
        <f>+PIGOO!E87</f>
        <v>0</v>
      </c>
      <c r="H109" s="198">
        <f>+PIGOO!F87</f>
        <v>0</v>
      </c>
      <c r="I109" s="198">
        <f>+PIGOO!G87</f>
        <v>0</v>
      </c>
      <c r="J109" s="198">
        <f>+PIGOO!H87</f>
        <v>0</v>
      </c>
      <c r="K109" s="198">
        <f>+PIGOO!I87</f>
        <v>0</v>
      </c>
      <c r="L109" s="198">
        <f>+PIGOO!J87</f>
        <v>0</v>
      </c>
      <c r="M109" s="198">
        <f>+PIGOO!K87</f>
        <v>0</v>
      </c>
      <c r="N109" s="198">
        <f>+PIGOO!L87</f>
        <v>0</v>
      </c>
      <c r="O109" s="198">
        <f>+PIGOO!M87</f>
        <v>0</v>
      </c>
    </row>
    <row r="110" spans="1:28" ht="15.75" thickBot="1">
      <c r="A110" s="502"/>
      <c r="B110" s="479"/>
      <c r="C110" s="162" t="s">
        <v>87</v>
      </c>
      <c r="D110" s="35">
        <v>0</v>
      </c>
      <c r="E110" s="36"/>
      <c r="F110" s="36"/>
      <c r="G110" s="36"/>
      <c r="H110" s="36"/>
      <c r="I110" s="36"/>
      <c r="J110" s="36"/>
      <c r="K110" s="51"/>
      <c r="L110" s="36"/>
      <c r="M110" s="36"/>
      <c r="N110" s="36"/>
      <c r="O110" s="199"/>
      <c r="Q110" s="1" t="s">
        <v>25</v>
      </c>
    </row>
    <row r="111" spans="1:28">
      <c r="A111" s="200"/>
      <c r="B111" s="479"/>
      <c r="C111" s="38" t="s">
        <v>306</v>
      </c>
      <c r="D111" s="41" t="e">
        <f>(D109/D110)-1</f>
        <v>#DIV/0!</v>
      </c>
      <c r="E111" s="15" t="e">
        <f t="shared" ref="E111:F111" si="258">(E109/E110)-1</f>
        <v>#DIV/0!</v>
      </c>
      <c r="F111" s="15" t="e">
        <f t="shared" si="258"/>
        <v>#DIV/0!</v>
      </c>
      <c r="G111" s="15" t="e">
        <f t="shared" ref="G111" si="259">(G109/G110)-1</f>
        <v>#DIV/0!</v>
      </c>
      <c r="H111" s="15" t="e">
        <f t="shared" ref="H111:I111" si="260">(H109/H110)-1</f>
        <v>#DIV/0!</v>
      </c>
      <c r="I111" s="15" t="e">
        <f t="shared" si="260"/>
        <v>#DIV/0!</v>
      </c>
      <c r="J111" s="15" t="e">
        <f t="shared" ref="J111:K111" si="261">(J109/J110)-1</f>
        <v>#DIV/0!</v>
      </c>
      <c r="K111" s="15" t="e">
        <f t="shared" si="261"/>
        <v>#DIV/0!</v>
      </c>
      <c r="L111" s="15" t="e">
        <f t="shared" ref="L111:M111" si="262">(L109/L110)-1</f>
        <v>#DIV/0!</v>
      </c>
      <c r="M111" s="15" t="e">
        <f t="shared" si="262"/>
        <v>#DIV/0!</v>
      </c>
      <c r="N111" s="15" t="e">
        <f t="shared" ref="N111" si="263">(N109/N110)-1</f>
        <v>#DIV/0!</v>
      </c>
      <c r="O111" s="201"/>
    </row>
    <row r="112" spans="1:28">
      <c r="A112" s="200"/>
      <c r="B112" s="479"/>
      <c r="C112" s="50" t="s">
        <v>307</v>
      </c>
      <c r="D112" s="52" t="e">
        <f>(D113/D114)-1</f>
        <v>#DIV/0!</v>
      </c>
      <c r="E112" s="53" t="e">
        <f t="shared" ref="E112:F112" si="264">(E113/E114)-1</f>
        <v>#DIV/0!</v>
      </c>
      <c r="F112" s="53" t="e">
        <f t="shared" si="264"/>
        <v>#DIV/0!</v>
      </c>
      <c r="G112" s="53" t="e">
        <f t="shared" ref="G112" si="265">(G113/G114)-1</f>
        <v>#DIV/0!</v>
      </c>
      <c r="H112" s="53" t="e">
        <f t="shared" ref="H112:I112" si="266">(H113/H114)-1</f>
        <v>#DIV/0!</v>
      </c>
      <c r="I112" s="53" t="e">
        <f t="shared" si="266"/>
        <v>#DIV/0!</v>
      </c>
      <c r="J112" s="53" t="e">
        <f t="shared" ref="J112:K112" si="267">(J113/J114)-1</f>
        <v>#DIV/0!</v>
      </c>
      <c r="K112" s="53" t="e">
        <f t="shared" si="267"/>
        <v>#DIV/0!</v>
      </c>
      <c r="L112" s="53" t="e">
        <f t="shared" ref="L112:M112" si="268">(L113/L114)-1</f>
        <v>#DIV/0!</v>
      </c>
      <c r="M112" s="53" t="e">
        <f t="shared" si="268"/>
        <v>#DIV/0!</v>
      </c>
      <c r="N112" s="53" t="e">
        <f t="shared" ref="N112" si="269">(N113/N114)-1</f>
        <v>#DIV/0!</v>
      </c>
      <c r="O112" s="202"/>
    </row>
    <row r="113" spans="1:15">
      <c r="A113" s="200"/>
      <c r="B113" s="479"/>
      <c r="C113" s="38" t="s">
        <v>308</v>
      </c>
      <c r="D113" s="8">
        <f>+D109</f>
        <v>0</v>
      </c>
      <c r="E113" s="9">
        <f t="shared" ref="E113:E114" si="270">D113+E109</f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203"/>
    </row>
    <row r="114" spans="1:15" ht="15.75" thickBot="1">
      <c r="A114" s="200"/>
      <c r="B114" s="480"/>
      <c r="C114" s="54" t="s">
        <v>88</v>
      </c>
      <c r="D114" s="55">
        <f>+D110</f>
        <v>0</v>
      </c>
      <c r="E114" s="36">
        <f t="shared" si="270"/>
        <v>0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199"/>
    </row>
    <row r="115" spans="1:15">
      <c r="A115" s="501" t="s">
        <v>14</v>
      </c>
      <c r="B115" s="503" t="s">
        <v>26</v>
      </c>
      <c r="C115" s="46" t="s">
        <v>305</v>
      </c>
      <c r="D115" s="138">
        <f>+PIGOO!B88</f>
        <v>0</v>
      </c>
      <c r="E115" s="138" t="e">
        <f>+[3]PIGOO!C88</f>
        <v>#REF!</v>
      </c>
      <c r="F115" s="138" t="e">
        <f>+[3]PIGOO!D88</f>
        <v>#REF!</v>
      </c>
      <c r="G115" s="138" t="e">
        <f>+[3]PIGOO!E88</f>
        <v>#REF!</v>
      </c>
      <c r="H115" s="138" t="e">
        <f>+[3]PIGOO!F88</f>
        <v>#REF!</v>
      </c>
      <c r="I115" s="138" t="e">
        <f>+[3]PIGOO!G88</f>
        <v>#REF!</v>
      </c>
      <c r="J115" s="138" t="e">
        <f>+[3]PIGOO!H88</f>
        <v>#REF!</v>
      </c>
      <c r="K115" s="138" t="e">
        <f>+[3]PIGOO!I88</f>
        <v>#REF!</v>
      </c>
      <c r="L115" s="138" t="e">
        <f>+[3]PIGOO!J88</f>
        <v>#REF!</v>
      </c>
      <c r="M115" s="138" t="e">
        <f>+[3]PIGOO!K88</f>
        <v>#REF!</v>
      </c>
      <c r="N115" s="138" t="e">
        <f>+[3]PIGOO!L88</f>
        <v>#REF!</v>
      </c>
      <c r="O115" s="138" t="e">
        <f>+[3]PIGOO!M88</f>
        <v>#REF!</v>
      </c>
    </row>
    <row r="116" spans="1:15" ht="15.75" thickBot="1">
      <c r="A116" s="502"/>
      <c r="B116" s="483"/>
      <c r="C116" s="163" t="s">
        <v>87</v>
      </c>
      <c r="D116" s="140">
        <v>0</v>
      </c>
      <c r="E116" s="141"/>
      <c r="F116" s="141"/>
      <c r="G116" s="141"/>
      <c r="H116" s="58"/>
      <c r="I116" s="58"/>
      <c r="J116" s="58"/>
      <c r="K116" s="58"/>
      <c r="L116" s="12"/>
      <c r="M116" s="12"/>
      <c r="N116" s="12"/>
      <c r="O116" s="12"/>
    </row>
    <row r="117" spans="1:15">
      <c r="A117" s="200"/>
      <c r="B117" s="483"/>
      <c r="C117" s="38" t="s">
        <v>306</v>
      </c>
      <c r="D117" s="41" t="e">
        <f>(D115/D116)-1</f>
        <v>#DIV/0!</v>
      </c>
      <c r="E117" s="15" t="e">
        <f t="shared" ref="E117:F117" si="271">(E115/E116)-1</f>
        <v>#REF!</v>
      </c>
      <c r="F117" s="15" t="e">
        <f t="shared" si="271"/>
        <v>#REF!</v>
      </c>
      <c r="G117" s="15" t="e">
        <f t="shared" ref="G117" si="272">(G115/G116)-1</f>
        <v>#REF!</v>
      </c>
      <c r="H117" s="15" t="e">
        <f t="shared" ref="H117:I117" si="273">(H115/H116)-1</f>
        <v>#REF!</v>
      </c>
      <c r="I117" s="15" t="e">
        <f t="shared" si="273"/>
        <v>#REF!</v>
      </c>
      <c r="J117" s="15" t="e">
        <f t="shared" ref="J117:K117" si="274">(J115/J116)-1</f>
        <v>#REF!</v>
      </c>
      <c r="K117" s="15" t="e">
        <f t="shared" si="274"/>
        <v>#REF!</v>
      </c>
      <c r="L117" s="15" t="e">
        <f t="shared" ref="L117:M117" si="275">(L115/L116)-1</f>
        <v>#REF!</v>
      </c>
      <c r="M117" s="15" t="e">
        <f t="shared" si="275"/>
        <v>#REF!</v>
      </c>
      <c r="N117" s="15" t="e">
        <f t="shared" ref="N117:O117" si="276">(N115/N116)-1</f>
        <v>#REF!</v>
      </c>
      <c r="O117" s="15" t="e">
        <f t="shared" si="276"/>
        <v>#REF!</v>
      </c>
    </row>
    <row r="118" spans="1:15">
      <c r="A118" s="200"/>
      <c r="B118" s="483"/>
      <c r="C118" s="57" t="s">
        <v>307</v>
      </c>
      <c r="D118" s="59" t="e">
        <f>(D119/D120)-1</f>
        <v>#DIV/0!</v>
      </c>
      <c r="E118" s="16" t="e">
        <f t="shared" ref="E118:F118" si="277">(E119/E120)-1</f>
        <v>#REF!</v>
      </c>
      <c r="F118" s="16" t="e">
        <f t="shared" si="277"/>
        <v>#REF!</v>
      </c>
      <c r="G118" s="16" t="e">
        <f t="shared" ref="G118" si="278">(G119/G120)-1</f>
        <v>#REF!</v>
      </c>
      <c r="H118" s="16" t="e">
        <f t="shared" ref="H118:I118" si="279">(H119/H120)-1</f>
        <v>#REF!</v>
      </c>
      <c r="I118" s="16" t="e">
        <f t="shared" si="279"/>
        <v>#REF!</v>
      </c>
      <c r="J118" s="16" t="e">
        <f t="shared" ref="J118:K118" si="280">(J119/J120)-1</f>
        <v>#REF!</v>
      </c>
      <c r="K118" s="16" t="e">
        <f t="shared" si="280"/>
        <v>#REF!</v>
      </c>
      <c r="L118" s="16" t="e">
        <f t="shared" ref="L118:M118" si="281">(L119/L120)-1</f>
        <v>#REF!</v>
      </c>
      <c r="M118" s="16" t="e">
        <f t="shared" si="281"/>
        <v>#REF!</v>
      </c>
      <c r="N118" s="16" t="e">
        <f t="shared" ref="N118:O118" si="282">(N119/N120)-1</f>
        <v>#REF!</v>
      </c>
      <c r="O118" s="16" t="e">
        <f t="shared" si="282"/>
        <v>#REF!</v>
      </c>
    </row>
    <row r="119" spans="1:15">
      <c r="A119" s="200"/>
      <c r="B119" s="483"/>
      <c r="C119" s="38" t="s">
        <v>308</v>
      </c>
      <c r="D119" s="8">
        <f>D115</f>
        <v>0</v>
      </c>
      <c r="E119" s="9" t="e">
        <f t="shared" ref="E119:O120" si="283">D119+E115</f>
        <v>#REF!</v>
      </c>
      <c r="F119" s="9" t="e">
        <f t="shared" si="283"/>
        <v>#REF!</v>
      </c>
      <c r="G119" s="9" t="e">
        <f t="shared" si="283"/>
        <v>#REF!</v>
      </c>
      <c r="H119" s="9" t="e">
        <f t="shared" si="283"/>
        <v>#REF!</v>
      </c>
      <c r="I119" s="9" t="e">
        <f t="shared" si="283"/>
        <v>#REF!</v>
      </c>
      <c r="J119" s="9" t="e">
        <f t="shared" si="283"/>
        <v>#REF!</v>
      </c>
      <c r="K119" s="9" t="e">
        <f t="shared" si="283"/>
        <v>#REF!</v>
      </c>
      <c r="L119" s="9" t="e">
        <f t="shared" si="283"/>
        <v>#REF!</v>
      </c>
      <c r="M119" s="9" t="e">
        <f t="shared" si="283"/>
        <v>#REF!</v>
      </c>
      <c r="N119" s="9" t="e">
        <f t="shared" si="283"/>
        <v>#REF!</v>
      </c>
      <c r="O119" s="9" t="e">
        <f t="shared" si="283"/>
        <v>#REF!</v>
      </c>
    </row>
    <row r="120" spans="1:15" ht="15.75" thickBot="1">
      <c r="A120" s="200"/>
      <c r="B120" s="483"/>
      <c r="C120" s="60" t="s">
        <v>88</v>
      </c>
      <c r="D120" s="61">
        <f>D116</f>
        <v>0</v>
      </c>
      <c r="E120" s="62">
        <f t="shared" si="283"/>
        <v>0</v>
      </c>
      <c r="F120" s="62">
        <f t="shared" si="283"/>
        <v>0</v>
      </c>
      <c r="G120" s="62">
        <f t="shared" si="283"/>
        <v>0</v>
      </c>
      <c r="H120" s="62">
        <f t="shared" si="283"/>
        <v>0</v>
      </c>
      <c r="I120" s="62">
        <f t="shared" si="283"/>
        <v>0</v>
      </c>
      <c r="J120" s="62">
        <f t="shared" si="283"/>
        <v>0</v>
      </c>
      <c r="K120" s="62">
        <f t="shared" si="283"/>
        <v>0</v>
      </c>
      <c r="L120" s="62">
        <f t="shared" si="283"/>
        <v>0</v>
      </c>
      <c r="M120" s="62">
        <f t="shared" si="283"/>
        <v>0</v>
      </c>
      <c r="N120" s="62">
        <f t="shared" si="283"/>
        <v>0</v>
      </c>
      <c r="O120" s="62">
        <f t="shared" si="283"/>
        <v>0</v>
      </c>
    </row>
    <row r="121" spans="1:15">
      <c r="A121" s="501" t="s">
        <v>14</v>
      </c>
      <c r="B121" s="465" t="s">
        <v>27</v>
      </c>
      <c r="C121" s="160" t="s">
        <v>305</v>
      </c>
      <c r="D121" s="144">
        <v>0</v>
      </c>
      <c r="E121" s="145"/>
      <c r="F121" s="144">
        <v>0</v>
      </c>
      <c r="G121" s="144">
        <v>0</v>
      </c>
      <c r="H121" s="56">
        <v>0</v>
      </c>
      <c r="I121" s="56">
        <v>0</v>
      </c>
      <c r="J121" s="56">
        <v>0</v>
      </c>
      <c r="K121" s="56">
        <v>0</v>
      </c>
      <c r="L121" s="19">
        <v>0</v>
      </c>
      <c r="M121" s="19">
        <v>0</v>
      </c>
      <c r="N121" s="19">
        <v>0</v>
      </c>
      <c r="O121" s="204"/>
    </row>
    <row r="122" spans="1:15" ht="15.75" thickBot="1">
      <c r="A122" s="502"/>
      <c r="B122" s="466"/>
      <c r="C122" s="164" t="s">
        <v>87</v>
      </c>
      <c r="D122" s="146">
        <v>0</v>
      </c>
      <c r="E122" s="147"/>
      <c r="F122" s="146">
        <v>0</v>
      </c>
      <c r="G122" s="146">
        <v>0</v>
      </c>
      <c r="H122" s="65">
        <v>0</v>
      </c>
      <c r="I122" s="65">
        <v>0</v>
      </c>
      <c r="J122" s="65">
        <v>0</v>
      </c>
      <c r="K122" s="65">
        <v>0</v>
      </c>
      <c r="L122" s="22">
        <v>0</v>
      </c>
      <c r="M122" s="22">
        <v>0</v>
      </c>
      <c r="N122" s="22">
        <v>0</v>
      </c>
      <c r="O122" s="206"/>
    </row>
    <row r="123" spans="1:15">
      <c r="A123" s="200"/>
      <c r="B123" s="466"/>
      <c r="C123" s="38" t="s">
        <v>306</v>
      </c>
      <c r="D123" s="41" t="e">
        <f>(D121/D122)-1</f>
        <v>#DIV/0!</v>
      </c>
      <c r="E123" s="15" t="e">
        <f t="shared" ref="E123" si="284">(E121/E122)-1</f>
        <v>#DIV/0!</v>
      </c>
      <c r="F123" s="41" t="e">
        <f t="shared" ref="F123:K123" si="285">(F121/F122)-1</f>
        <v>#DIV/0!</v>
      </c>
      <c r="G123" s="41" t="e">
        <f t="shared" si="285"/>
        <v>#DIV/0!</v>
      </c>
      <c r="H123" s="15" t="e">
        <f t="shared" si="285"/>
        <v>#DIV/0!</v>
      </c>
      <c r="I123" s="15" t="e">
        <f t="shared" si="285"/>
        <v>#DIV/0!</v>
      </c>
      <c r="J123" s="15" t="e">
        <f t="shared" si="285"/>
        <v>#DIV/0!</v>
      </c>
      <c r="K123" s="15" t="e">
        <f t="shared" si="285"/>
        <v>#DIV/0!</v>
      </c>
      <c r="L123" s="15" t="e">
        <f t="shared" ref="L123:M123" si="286">(L121/L122)-1</f>
        <v>#DIV/0!</v>
      </c>
      <c r="M123" s="15" t="e">
        <f t="shared" si="286"/>
        <v>#DIV/0!</v>
      </c>
      <c r="N123" s="15" t="e">
        <f t="shared" ref="N123" si="287">(N121/N122)-1</f>
        <v>#DIV/0!</v>
      </c>
      <c r="O123" s="15" t="e">
        <f t="shared" ref="O123" si="288">(O121/O122)-1</f>
        <v>#DIV/0!</v>
      </c>
    </row>
    <row r="124" spans="1:15">
      <c r="A124" s="200"/>
      <c r="B124" s="466"/>
      <c r="C124" s="64" t="s">
        <v>307</v>
      </c>
      <c r="D124" s="66" t="e">
        <f>(D125/D126)-1</f>
        <v>#DIV/0!</v>
      </c>
      <c r="E124" s="24" t="e">
        <f t="shared" ref="E124" si="289">(E125/E126)-1</f>
        <v>#DIV/0!</v>
      </c>
      <c r="F124" s="66" t="e">
        <f t="shared" ref="F124:K124" si="290">(F125/F126)-1</f>
        <v>#DIV/0!</v>
      </c>
      <c r="G124" s="66" t="e">
        <f t="shared" si="290"/>
        <v>#DIV/0!</v>
      </c>
      <c r="H124" s="24" t="e">
        <f t="shared" si="290"/>
        <v>#DIV/0!</v>
      </c>
      <c r="I124" s="24" t="e">
        <f t="shared" si="290"/>
        <v>#DIV/0!</v>
      </c>
      <c r="J124" s="24" t="e">
        <f t="shared" si="290"/>
        <v>#DIV/0!</v>
      </c>
      <c r="K124" s="24" t="e">
        <f t="shared" si="290"/>
        <v>#DIV/0!</v>
      </c>
      <c r="L124" s="24" t="e">
        <f t="shared" ref="L124:M124" si="291">(L125/L126)-1</f>
        <v>#DIV/0!</v>
      </c>
      <c r="M124" s="24" t="e">
        <f t="shared" si="291"/>
        <v>#DIV/0!</v>
      </c>
      <c r="N124" s="24" t="e">
        <f t="shared" ref="N124" si="292">(N125/N126)-1</f>
        <v>#DIV/0!</v>
      </c>
      <c r="O124" s="24" t="e">
        <f t="shared" ref="O124" si="293">(O125/O126)-1</f>
        <v>#DIV/0!</v>
      </c>
    </row>
    <row r="125" spans="1:15">
      <c r="A125" s="200"/>
      <c r="B125" s="466"/>
      <c r="C125" s="38" t="s">
        <v>308</v>
      </c>
      <c r="D125" s="8">
        <f>D121</f>
        <v>0</v>
      </c>
      <c r="E125" s="9">
        <f t="shared" ref="E125:E126" si="294">D125+E121</f>
        <v>0</v>
      </c>
      <c r="F125" s="8">
        <f t="shared" ref="F125:H126" si="295">F121</f>
        <v>0</v>
      </c>
      <c r="G125" s="8">
        <f t="shared" si="295"/>
        <v>0</v>
      </c>
      <c r="H125" s="9">
        <f t="shared" si="295"/>
        <v>0</v>
      </c>
      <c r="I125" s="9">
        <f t="shared" ref="I125:J125" si="296">I121</f>
        <v>0</v>
      </c>
      <c r="J125" s="9">
        <f t="shared" si="296"/>
        <v>0</v>
      </c>
      <c r="K125" s="9">
        <f t="shared" ref="K125:L125" si="297">K121</f>
        <v>0</v>
      </c>
      <c r="L125" s="9">
        <f t="shared" si="297"/>
        <v>0</v>
      </c>
      <c r="M125" s="9">
        <f t="shared" ref="M125" si="298">M121</f>
        <v>0</v>
      </c>
      <c r="N125" s="9">
        <f t="shared" ref="N125" si="299">N121</f>
        <v>0</v>
      </c>
      <c r="O125" s="9">
        <f t="shared" ref="O125" si="300">O121</f>
        <v>0</v>
      </c>
    </row>
    <row r="126" spans="1:15" ht="15.75" thickBot="1">
      <c r="A126" s="200"/>
      <c r="B126" s="467"/>
      <c r="C126" s="67" t="s">
        <v>88</v>
      </c>
      <c r="D126" s="21">
        <f>D122</f>
        <v>0</v>
      </c>
      <c r="E126" s="22">
        <f t="shared" si="294"/>
        <v>0</v>
      </c>
      <c r="F126" s="21">
        <f t="shared" si="295"/>
        <v>0</v>
      </c>
      <c r="G126" s="21">
        <f t="shared" si="295"/>
        <v>0</v>
      </c>
      <c r="H126" s="22">
        <f t="shared" si="295"/>
        <v>0</v>
      </c>
      <c r="I126" s="22">
        <f t="shared" ref="I126:J126" si="301">I122</f>
        <v>0</v>
      </c>
      <c r="J126" s="22">
        <f t="shared" si="301"/>
        <v>0</v>
      </c>
      <c r="K126" s="22">
        <f t="shared" ref="K126:L126" si="302">K122</f>
        <v>0</v>
      </c>
      <c r="L126" s="22">
        <f t="shared" si="302"/>
        <v>0</v>
      </c>
      <c r="M126" s="22">
        <f t="shared" ref="M126" si="303">M122</f>
        <v>0</v>
      </c>
      <c r="N126" s="22">
        <f t="shared" ref="N126" si="304">N122</f>
        <v>0</v>
      </c>
      <c r="O126" s="22">
        <f t="shared" ref="O126" si="305">O122</f>
        <v>0</v>
      </c>
    </row>
    <row r="127" spans="1:15">
      <c r="A127" s="510" t="s">
        <v>21</v>
      </c>
      <c r="B127" s="470" t="s">
        <v>28</v>
      </c>
      <c r="C127" s="160" t="s">
        <v>305</v>
      </c>
      <c r="D127" s="138">
        <v>0</v>
      </c>
      <c r="E127" s="139"/>
      <c r="F127" s="138">
        <v>0</v>
      </c>
      <c r="G127" s="138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</row>
    <row r="128" spans="1:15" ht="15.75" thickBot="1">
      <c r="A128" s="511"/>
      <c r="B128" s="471"/>
      <c r="C128" s="161" t="s">
        <v>87</v>
      </c>
      <c r="D128" s="142">
        <v>0</v>
      </c>
      <c r="E128" s="143"/>
      <c r="F128" s="142">
        <v>0</v>
      </c>
      <c r="G128" s="142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</row>
    <row r="129" spans="1:15">
      <c r="A129" s="200"/>
      <c r="B129" s="471"/>
      <c r="C129" s="38" t="s">
        <v>306</v>
      </c>
      <c r="D129" s="41" t="e">
        <f>(D127/D128)-1</f>
        <v>#DIV/0!</v>
      </c>
      <c r="E129" s="15" t="e">
        <f t="shared" ref="E129" si="306">(E127/E128)-1</f>
        <v>#DIV/0!</v>
      </c>
      <c r="F129" s="41" t="e">
        <f t="shared" ref="F129:K129" si="307">(F127/F128)-1</f>
        <v>#DIV/0!</v>
      </c>
      <c r="G129" s="41" t="e">
        <f t="shared" si="307"/>
        <v>#DIV/0!</v>
      </c>
      <c r="H129" s="15" t="e">
        <f t="shared" si="307"/>
        <v>#DIV/0!</v>
      </c>
      <c r="I129" s="15" t="e">
        <f t="shared" si="307"/>
        <v>#DIV/0!</v>
      </c>
      <c r="J129" s="15" t="e">
        <f t="shared" si="307"/>
        <v>#DIV/0!</v>
      </c>
      <c r="K129" s="15" t="e">
        <f t="shared" si="307"/>
        <v>#DIV/0!</v>
      </c>
      <c r="L129" s="15" t="e">
        <f t="shared" ref="L129:M129" si="308">(L127/L128)-1</f>
        <v>#DIV/0!</v>
      </c>
      <c r="M129" s="15" t="e">
        <f t="shared" si="308"/>
        <v>#DIV/0!</v>
      </c>
      <c r="N129" s="15" t="e">
        <f t="shared" ref="N129" si="309">(N127/N128)-1</f>
        <v>#DIV/0!</v>
      </c>
      <c r="O129" s="15" t="e">
        <f t="shared" ref="O129" si="310">(O127/O128)-1</f>
        <v>#DIV/0!</v>
      </c>
    </row>
    <row r="130" spans="1:15">
      <c r="A130" s="200"/>
      <c r="B130" s="471"/>
      <c r="C130" s="39" t="s">
        <v>307</v>
      </c>
      <c r="D130" s="42" t="e">
        <f>(D131/D132)-1</f>
        <v>#DIV/0!</v>
      </c>
      <c r="E130" s="28" t="e">
        <f t="shared" ref="E130" si="311">(E131/E132)-1</f>
        <v>#DIV/0!</v>
      </c>
      <c r="F130" s="42" t="e">
        <f t="shared" ref="F130:K130" si="312">(F131/F132)-1</f>
        <v>#DIV/0!</v>
      </c>
      <c r="G130" s="42" t="e">
        <f t="shared" si="312"/>
        <v>#DIV/0!</v>
      </c>
      <c r="H130" s="28" t="e">
        <f t="shared" si="312"/>
        <v>#DIV/0!</v>
      </c>
      <c r="I130" s="28" t="e">
        <f t="shared" si="312"/>
        <v>#DIV/0!</v>
      </c>
      <c r="J130" s="28" t="e">
        <f t="shared" si="312"/>
        <v>#DIV/0!</v>
      </c>
      <c r="K130" s="28" t="e">
        <f t="shared" si="312"/>
        <v>#DIV/0!</v>
      </c>
      <c r="L130" s="28" t="e">
        <f t="shared" ref="L130:M130" si="313">(L131/L132)-1</f>
        <v>#DIV/0!</v>
      </c>
      <c r="M130" s="28" t="e">
        <f t="shared" si="313"/>
        <v>#DIV/0!</v>
      </c>
      <c r="N130" s="28" t="e">
        <f t="shared" ref="N130" si="314">(N131/N132)-1</f>
        <v>#DIV/0!</v>
      </c>
      <c r="O130" s="28" t="e">
        <f t="shared" ref="O130" si="315">(O131/O132)-1</f>
        <v>#DIV/0!</v>
      </c>
    </row>
    <row r="131" spans="1:15">
      <c r="A131" s="200"/>
      <c r="B131" s="471"/>
      <c r="C131" s="38" t="s">
        <v>308</v>
      </c>
      <c r="D131" s="8">
        <f>D127</f>
        <v>0</v>
      </c>
      <c r="E131" s="9">
        <f t="shared" ref="E131:E132" si="316">D131+E127</f>
        <v>0</v>
      </c>
      <c r="F131" s="8">
        <f t="shared" ref="F131:H132" si="317">F127</f>
        <v>0</v>
      </c>
      <c r="G131" s="8">
        <f t="shared" si="317"/>
        <v>0</v>
      </c>
      <c r="H131" s="9">
        <f t="shared" si="317"/>
        <v>0</v>
      </c>
      <c r="I131" s="9">
        <f t="shared" ref="I131:J131" si="318">I127</f>
        <v>0</v>
      </c>
      <c r="J131" s="9">
        <f t="shared" si="318"/>
        <v>0</v>
      </c>
      <c r="K131" s="9">
        <f t="shared" ref="K131:L131" si="319">K127</f>
        <v>0</v>
      </c>
      <c r="L131" s="9">
        <f t="shared" si="319"/>
        <v>0</v>
      </c>
      <c r="M131" s="9">
        <f t="shared" ref="M131" si="320">M127</f>
        <v>0</v>
      </c>
      <c r="N131" s="9">
        <f t="shared" ref="N131" si="321">N127</f>
        <v>0</v>
      </c>
      <c r="O131" s="9">
        <f t="shared" ref="O131" si="322">O127</f>
        <v>0</v>
      </c>
    </row>
    <row r="132" spans="1:15" ht="15.75" thickBot="1">
      <c r="A132" s="200"/>
      <c r="B132" s="471"/>
      <c r="C132" s="43" t="s">
        <v>88</v>
      </c>
      <c r="D132" s="70">
        <f>D128</f>
        <v>0</v>
      </c>
      <c r="E132" s="71">
        <f t="shared" si="316"/>
        <v>0</v>
      </c>
      <c r="F132" s="70">
        <f t="shared" si="317"/>
        <v>0</v>
      </c>
      <c r="G132" s="70">
        <f t="shared" si="317"/>
        <v>0</v>
      </c>
      <c r="H132" s="71">
        <f t="shared" si="317"/>
        <v>0</v>
      </c>
      <c r="I132" s="71">
        <f t="shared" ref="I132:J132" si="323">I128</f>
        <v>0</v>
      </c>
      <c r="J132" s="71">
        <f t="shared" si="323"/>
        <v>0</v>
      </c>
      <c r="K132" s="71">
        <f t="shared" ref="K132:L132" si="324">K128</f>
        <v>0</v>
      </c>
      <c r="L132" s="71">
        <f t="shared" si="324"/>
        <v>0</v>
      </c>
      <c r="M132" s="71">
        <f t="shared" ref="M132" si="325">M128</f>
        <v>0</v>
      </c>
      <c r="N132" s="71">
        <f t="shared" ref="N132" si="326">N128</f>
        <v>0</v>
      </c>
      <c r="O132" s="71">
        <f t="shared" ref="O132" si="327">O128</f>
        <v>0</v>
      </c>
    </row>
    <row r="133" spans="1:15">
      <c r="A133" s="510" t="s">
        <v>21</v>
      </c>
      <c r="B133" s="478" t="s">
        <v>29</v>
      </c>
      <c r="C133" s="160" t="s">
        <v>305</v>
      </c>
      <c r="D133" s="63">
        <v>0</v>
      </c>
      <c r="E133" s="56"/>
      <c r="F133" s="63">
        <v>0</v>
      </c>
      <c r="G133" s="63">
        <v>0</v>
      </c>
      <c r="H133" s="56">
        <v>0</v>
      </c>
      <c r="I133" s="56">
        <v>0</v>
      </c>
      <c r="J133" s="56">
        <v>0</v>
      </c>
      <c r="K133" s="56">
        <v>0</v>
      </c>
      <c r="L133" s="19">
        <v>0</v>
      </c>
      <c r="M133" s="19">
        <v>0</v>
      </c>
      <c r="N133" s="19">
        <v>0</v>
      </c>
      <c r="O133" s="19">
        <v>0</v>
      </c>
    </row>
    <row r="134" spans="1:15" ht="15.75" thickBot="1">
      <c r="A134" s="511"/>
      <c r="B134" s="479"/>
      <c r="C134" s="162" t="s">
        <v>87</v>
      </c>
      <c r="D134" s="72">
        <v>0</v>
      </c>
      <c r="E134" s="73"/>
      <c r="F134" s="72">
        <v>0</v>
      </c>
      <c r="G134" s="72">
        <v>0</v>
      </c>
      <c r="H134" s="73">
        <v>0</v>
      </c>
      <c r="I134" s="73">
        <v>0</v>
      </c>
      <c r="J134" s="73">
        <v>0</v>
      </c>
      <c r="K134" s="73">
        <v>0</v>
      </c>
      <c r="L134" s="36">
        <v>0</v>
      </c>
      <c r="M134" s="36">
        <v>0</v>
      </c>
      <c r="N134" s="36">
        <v>0</v>
      </c>
      <c r="O134" s="36">
        <v>0</v>
      </c>
    </row>
    <row r="135" spans="1:15">
      <c r="A135" s="200"/>
      <c r="B135" s="479"/>
      <c r="C135" s="38" t="s">
        <v>306</v>
      </c>
      <c r="D135" s="74" t="e">
        <f>(D133/D134)-1</f>
        <v>#DIV/0!</v>
      </c>
      <c r="E135" s="75" t="e">
        <f t="shared" ref="E135" si="328">(E133/E134)-1</f>
        <v>#DIV/0!</v>
      </c>
      <c r="F135" s="74" t="e">
        <f t="shared" ref="F135:K135" si="329">(F133/F134)-1</f>
        <v>#DIV/0!</v>
      </c>
      <c r="G135" s="74" t="e">
        <f t="shared" si="329"/>
        <v>#DIV/0!</v>
      </c>
      <c r="H135" s="75" t="e">
        <f t="shared" si="329"/>
        <v>#DIV/0!</v>
      </c>
      <c r="I135" s="75" t="e">
        <f t="shared" si="329"/>
        <v>#DIV/0!</v>
      </c>
      <c r="J135" s="75" t="e">
        <f t="shared" si="329"/>
        <v>#DIV/0!</v>
      </c>
      <c r="K135" s="75" t="e">
        <f t="shared" si="329"/>
        <v>#DIV/0!</v>
      </c>
      <c r="L135" s="15" t="e">
        <f t="shared" ref="L135:M135" si="330">(L133/L134)-1</f>
        <v>#DIV/0!</v>
      </c>
      <c r="M135" s="15" t="e">
        <f t="shared" si="330"/>
        <v>#DIV/0!</v>
      </c>
      <c r="N135" s="15" t="e">
        <f t="shared" ref="N135" si="331">(N133/N134)-1</f>
        <v>#DIV/0!</v>
      </c>
      <c r="O135" s="15" t="e">
        <f t="shared" ref="O135" si="332">(O133/O134)-1</f>
        <v>#DIV/0!</v>
      </c>
    </row>
    <row r="136" spans="1:15">
      <c r="A136" s="200"/>
      <c r="B136" s="479"/>
      <c r="C136" s="50" t="s">
        <v>307</v>
      </c>
      <c r="D136" s="76" t="e">
        <f>(D137/D138)-1</f>
        <v>#DIV/0!</v>
      </c>
      <c r="E136" s="77" t="e">
        <f t="shared" ref="E136" si="333">(E137/E138)-1</f>
        <v>#DIV/0!</v>
      </c>
      <c r="F136" s="76" t="e">
        <f t="shared" ref="F136:K136" si="334">(F137/F138)-1</f>
        <v>#DIV/0!</v>
      </c>
      <c r="G136" s="76" t="e">
        <f t="shared" si="334"/>
        <v>#DIV/0!</v>
      </c>
      <c r="H136" s="77" t="e">
        <f t="shared" si="334"/>
        <v>#DIV/0!</v>
      </c>
      <c r="I136" s="77" t="e">
        <f t="shared" si="334"/>
        <v>#DIV/0!</v>
      </c>
      <c r="J136" s="77" t="e">
        <f t="shared" si="334"/>
        <v>#DIV/0!</v>
      </c>
      <c r="K136" s="77" t="e">
        <f t="shared" si="334"/>
        <v>#DIV/0!</v>
      </c>
      <c r="L136" s="53" t="e">
        <f t="shared" ref="L136:M136" si="335">(L137/L138)-1</f>
        <v>#DIV/0!</v>
      </c>
      <c r="M136" s="53" t="e">
        <f t="shared" si="335"/>
        <v>#DIV/0!</v>
      </c>
      <c r="N136" s="53" t="e">
        <f t="shared" ref="N136" si="336">(N137/N138)-1</f>
        <v>#DIV/0!</v>
      </c>
      <c r="O136" s="53" t="e">
        <f t="shared" ref="O136" si="337">(O137/O138)-1</f>
        <v>#DIV/0!</v>
      </c>
    </row>
    <row r="137" spans="1:15">
      <c r="A137" s="200"/>
      <c r="B137" s="479"/>
      <c r="C137" s="38" t="s">
        <v>308</v>
      </c>
      <c r="D137" s="8">
        <f>D133</f>
        <v>0</v>
      </c>
      <c r="E137" s="9">
        <f>D137+E133</f>
        <v>0</v>
      </c>
      <c r="F137" s="8">
        <f t="shared" ref="F137:H138" si="338">F133</f>
        <v>0</v>
      </c>
      <c r="G137" s="8">
        <f t="shared" si="338"/>
        <v>0</v>
      </c>
      <c r="H137" s="9">
        <f t="shared" si="338"/>
        <v>0</v>
      </c>
      <c r="I137" s="9">
        <f t="shared" ref="I137:J137" si="339">I133</f>
        <v>0</v>
      </c>
      <c r="J137" s="9">
        <f t="shared" si="339"/>
        <v>0</v>
      </c>
      <c r="K137" s="9">
        <f t="shared" ref="K137:L137" si="340">K133</f>
        <v>0</v>
      </c>
      <c r="L137" s="9">
        <f t="shared" si="340"/>
        <v>0</v>
      </c>
      <c r="M137" s="9">
        <f t="shared" ref="M137" si="341">M133</f>
        <v>0</v>
      </c>
      <c r="N137" s="9">
        <f t="shared" ref="N137" si="342">N133</f>
        <v>0</v>
      </c>
      <c r="O137" s="9">
        <f t="shared" ref="O137" si="343">O133</f>
        <v>0</v>
      </c>
    </row>
    <row r="138" spans="1:15" ht="15.75" thickBot="1">
      <c r="A138" s="200"/>
      <c r="B138" s="480"/>
      <c r="C138" s="54" t="s">
        <v>88</v>
      </c>
      <c r="D138" s="35">
        <f>D134</f>
        <v>0</v>
      </c>
      <c r="E138" s="36">
        <f>D138+E134</f>
        <v>0</v>
      </c>
      <c r="F138" s="35">
        <f t="shared" si="338"/>
        <v>0</v>
      </c>
      <c r="G138" s="35">
        <f t="shared" si="338"/>
        <v>0</v>
      </c>
      <c r="H138" s="36">
        <f t="shared" si="338"/>
        <v>0</v>
      </c>
      <c r="I138" s="36">
        <f t="shared" ref="I138:J138" si="344">I134</f>
        <v>0</v>
      </c>
      <c r="J138" s="36">
        <f t="shared" si="344"/>
        <v>0</v>
      </c>
      <c r="K138" s="36">
        <f t="shared" ref="K138:L138" si="345">K134</f>
        <v>0</v>
      </c>
      <c r="L138" s="78">
        <f t="shared" si="345"/>
        <v>0</v>
      </c>
      <c r="M138" s="78">
        <f t="shared" ref="M138" si="346">M134</f>
        <v>0</v>
      </c>
      <c r="N138" s="78">
        <f t="shared" ref="N138" si="347">N134</f>
        <v>0</v>
      </c>
      <c r="O138" s="78">
        <f t="shared" ref="O138" si="348">O134</f>
        <v>0</v>
      </c>
    </row>
    <row r="139" spans="1:15">
      <c r="A139" s="510" t="s">
        <v>21</v>
      </c>
      <c r="B139" s="503" t="s">
        <v>30</v>
      </c>
      <c r="C139" s="160" t="s">
        <v>305</v>
      </c>
      <c r="D139" s="18">
        <v>0</v>
      </c>
      <c r="E139" s="19"/>
      <c r="F139" s="18">
        <v>0</v>
      </c>
      <c r="G139" s="18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</row>
    <row r="140" spans="1:15" ht="15.75" thickBot="1">
      <c r="A140" s="511"/>
      <c r="B140" s="483"/>
      <c r="C140" s="163" t="s">
        <v>87</v>
      </c>
      <c r="D140" s="11">
        <v>0</v>
      </c>
      <c r="E140" s="12"/>
      <c r="F140" s="11">
        <v>0</v>
      </c>
      <c r="G140" s="11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</row>
    <row r="141" spans="1:15">
      <c r="A141" s="200"/>
      <c r="B141" s="483"/>
      <c r="C141" s="38" t="s">
        <v>306</v>
      </c>
      <c r="D141" s="41" t="e">
        <f>(D139/D140)-1</f>
        <v>#DIV/0!</v>
      </c>
      <c r="E141" s="15" t="e">
        <f t="shared" ref="E141" si="349">(E139/E140)-1</f>
        <v>#DIV/0!</v>
      </c>
      <c r="F141" s="41" t="e">
        <f t="shared" ref="F141:K141" si="350">(F139/F140)-1</f>
        <v>#DIV/0!</v>
      </c>
      <c r="G141" s="41" t="e">
        <f t="shared" si="350"/>
        <v>#DIV/0!</v>
      </c>
      <c r="H141" s="15" t="e">
        <f t="shared" si="350"/>
        <v>#DIV/0!</v>
      </c>
      <c r="I141" s="15" t="e">
        <f t="shared" si="350"/>
        <v>#DIV/0!</v>
      </c>
      <c r="J141" s="15" t="e">
        <f t="shared" si="350"/>
        <v>#DIV/0!</v>
      </c>
      <c r="K141" s="15" t="e">
        <f t="shared" si="350"/>
        <v>#DIV/0!</v>
      </c>
      <c r="L141" s="15" t="e">
        <f t="shared" ref="L141:M141" si="351">(L139/L140)-1</f>
        <v>#DIV/0!</v>
      </c>
      <c r="M141" s="15" t="e">
        <f t="shared" si="351"/>
        <v>#DIV/0!</v>
      </c>
      <c r="N141" s="15" t="e">
        <f t="shared" ref="N141" si="352">(N139/N140)-1</f>
        <v>#DIV/0!</v>
      </c>
      <c r="O141" s="15" t="e">
        <f t="shared" ref="O141" si="353">(O139/O140)-1</f>
        <v>#DIV/0!</v>
      </c>
    </row>
    <row r="142" spans="1:15">
      <c r="A142" s="200"/>
      <c r="B142" s="483"/>
      <c r="C142" s="57" t="s">
        <v>307</v>
      </c>
      <c r="D142" s="59" t="e">
        <f>(D143/D144)-1</f>
        <v>#DIV/0!</v>
      </c>
      <c r="E142" s="16" t="e">
        <f t="shared" ref="E142" si="354">(E143/E144)-1</f>
        <v>#DIV/0!</v>
      </c>
      <c r="F142" s="59" t="e">
        <f t="shared" ref="F142:K142" si="355">(F143/F144)-1</f>
        <v>#DIV/0!</v>
      </c>
      <c r="G142" s="59" t="e">
        <f t="shared" si="355"/>
        <v>#DIV/0!</v>
      </c>
      <c r="H142" s="16" t="e">
        <f t="shared" si="355"/>
        <v>#DIV/0!</v>
      </c>
      <c r="I142" s="16" t="e">
        <f t="shared" si="355"/>
        <v>#DIV/0!</v>
      </c>
      <c r="J142" s="16" t="e">
        <f t="shared" si="355"/>
        <v>#DIV/0!</v>
      </c>
      <c r="K142" s="16" t="e">
        <f t="shared" si="355"/>
        <v>#DIV/0!</v>
      </c>
      <c r="L142" s="16" t="e">
        <f t="shared" ref="L142:M142" si="356">(L143/L144)-1</f>
        <v>#DIV/0!</v>
      </c>
      <c r="M142" s="16" t="e">
        <f t="shared" si="356"/>
        <v>#DIV/0!</v>
      </c>
      <c r="N142" s="16" t="e">
        <f t="shared" ref="N142" si="357">(N143/N144)-1</f>
        <v>#DIV/0!</v>
      </c>
      <c r="O142" s="16" t="e">
        <f t="shared" ref="O142" si="358">(O143/O144)-1</f>
        <v>#DIV/0!</v>
      </c>
    </row>
    <row r="143" spans="1:15">
      <c r="A143" s="200"/>
      <c r="B143" s="483"/>
      <c r="C143" s="38" t="s">
        <v>308</v>
      </c>
      <c r="D143" s="8">
        <f>D139</f>
        <v>0</v>
      </c>
      <c r="E143" s="9">
        <f t="shared" ref="E143:E144" si="359">D143+E139</f>
        <v>0</v>
      </c>
      <c r="F143" s="8">
        <f t="shared" ref="F143:H144" si="360">F139</f>
        <v>0</v>
      </c>
      <c r="G143" s="8">
        <f t="shared" si="360"/>
        <v>0</v>
      </c>
      <c r="H143" s="9">
        <f t="shared" si="360"/>
        <v>0</v>
      </c>
      <c r="I143" s="9">
        <f t="shared" ref="I143:J143" si="361">I139</f>
        <v>0</v>
      </c>
      <c r="J143" s="9">
        <f t="shared" si="361"/>
        <v>0</v>
      </c>
      <c r="K143" s="9">
        <f t="shared" ref="K143:L143" si="362">K139</f>
        <v>0</v>
      </c>
      <c r="L143" s="9">
        <f t="shared" si="362"/>
        <v>0</v>
      </c>
      <c r="M143" s="9">
        <f t="shared" ref="M143:N143" si="363">M139</f>
        <v>0</v>
      </c>
      <c r="N143" s="9">
        <f t="shared" si="363"/>
        <v>0</v>
      </c>
      <c r="O143" s="203"/>
    </row>
    <row r="144" spans="1:15" ht="15.75" thickBot="1">
      <c r="A144" s="200"/>
      <c r="B144" s="512"/>
      <c r="C144" s="60" t="s">
        <v>88</v>
      </c>
      <c r="D144" s="61">
        <f>D140</f>
        <v>0</v>
      </c>
      <c r="E144" s="62">
        <f t="shared" si="359"/>
        <v>0</v>
      </c>
      <c r="F144" s="61">
        <f t="shared" si="360"/>
        <v>0</v>
      </c>
      <c r="G144" s="61">
        <f t="shared" si="360"/>
        <v>0</v>
      </c>
      <c r="H144" s="62">
        <f t="shared" si="360"/>
        <v>0</v>
      </c>
      <c r="I144" s="62">
        <f t="shared" ref="I144:J144" si="364">I140</f>
        <v>0</v>
      </c>
      <c r="J144" s="62">
        <f t="shared" si="364"/>
        <v>0</v>
      </c>
      <c r="K144" s="62">
        <f t="shared" ref="K144:L144" si="365">K140</f>
        <v>0</v>
      </c>
      <c r="L144" s="62">
        <f t="shared" si="365"/>
        <v>0</v>
      </c>
      <c r="M144" s="62">
        <f t="shared" ref="M144:N144" si="366">M140</f>
        <v>0</v>
      </c>
      <c r="N144" s="62">
        <f t="shared" si="366"/>
        <v>0</v>
      </c>
      <c r="O144" s="205"/>
    </row>
    <row r="145" spans="1:16">
      <c r="A145" s="510" t="s">
        <v>21</v>
      </c>
      <c r="B145" s="465" t="s">
        <v>31</v>
      </c>
      <c r="C145" s="160" t="s">
        <v>305</v>
      </c>
      <c r="D145" s="144">
        <v>0</v>
      </c>
      <c r="E145" s="145"/>
      <c r="F145" s="144">
        <v>0</v>
      </c>
      <c r="G145" s="144">
        <v>0</v>
      </c>
      <c r="H145" s="56">
        <v>0</v>
      </c>
      <c r="I145" s="56">
        <v>0</v>
      </c>
      <c r="J145" s="56">
        <v>0</v>
      </c>
      <c r="K145" s="56">
        <v>0</v>
      </c>
      <c r="L145" s="19">
        <v>0</v>
      </c>
      <c r="M145" s="19">
        <v>0</v>
      </c>
      <c r="N145" s="19">
        <v>0</v>
      </c>
      <c r="O145" s="204"/>
    </row>
    <row r="146" spans="1:16" ht="15.75" thickBot="1">
      <c r="A146" s="511"/>
      <c r="B146" s="466"/>
      <c r="C146" s="164" t="s">
        <v>87</v>
      </c>
      <c r="D146" s="148">
        <v>0</v>
      </c>
      <c r="E146" s="149"/>
      <c r="F146" s="148">
        <v>0</v>
      </c>
      <c r="G146" s="148">
        <v>0</v>
      </c>
      <c r="H146" s="65">
        <v>0</v>
      </c>
      <c r="I146" s="65">
        <v>0</v>
      </c>
      <c r="J146" s="65">
        <v>0</v>
      </c>
      <c r="K146" s="65">
        <v>0</v>
      </c>
      <c r="L146" s="22">
        <v>0</v>
      </c>
      <c r="M146" s="22">
        <v>0</v>
      </c>
      <c r="N146" s="22">
        <v>0</v>
      </c>
      <c r="O146" s="206"/>
    </row>
    <row r="147" spans="1:16">
      <c r="A147" s="200"/>
      <c r="B147" s="466"/>
      <c r="C147" s="38" t="s">
        <v>306</v>
      </c>
      <c r="D147" s="41" t="e">
        <f>(D145/D146)-1</f>
        <v>#DIV/0!</v>
      </c>
      <c r="E147" s="15" t="e">
        <f t="shared" ref="E147" si="367">(E145/E146)-1</f>
        <v>#DIV/0!</v>
      </c>
      <c r="F147" s="41" t="e">
        <f t="shared" ref="F147:K147" si="368">(F145/F146)-1</f>
        <v>#DIV/0!</v>
      </c>
      <c r="G147" s="41" t="e">
        <f t="shared" si="368"/>
        <v>#DIV/0!</v>
      </c>
      <c r="H147" s="15" t="e">
        <f t="shared" si="368"/>
        <v>#DIV/0!</v>
      </c>
      <c r="I147" s="15" t="e">
        <f t="shared" si="368"/>
        <v>#DIV/0!</v>
      </c>
      <c r="J147" s="15" t="e">
        <f t="shared" si="368"/>
        <v>#DIV/0!</v>
      </c>
      <c r="K147" s="15" t="e">
        <f t="shared" si="368"/>
        <v>#DIV/0!</v>
      </c>
      <c r="L147" s="15" t="e">
        <f t="shared" ref="L147:M147" si="369">(L145/L146)-1</f>
        <v>#DIV/0!</v>
      </c>
      <c r="M147" s="15" t="e">
        <f t="shared" si="369"/>
        <v>#DIV/0!</v>
      </c>
      <c r="N147" s="15" t="e">
        <f t="shared" ref="N147" si="370">(N145/N146)-1</f>
        <v>#DIV/0!</v>
      </c>
      <c r="O147" s="15" t="e">
        <f t="shared" ref="O147" si="371">(O145/O146)-1</f>
        <v>#DIV/0!</v>
      </c>
    </row>
    <row r="148" spans="1:16">
      <c r="A148" s="200"/>
      <c r="B148" s="466"/>
      <c r="C148" s="64" t="s">
        <v>307</v>
      </c>
      <c r="D148" s="66" t="e">
        <f>(D149/D150)-1</f>
        <v>#DIV/0!</v>
      </c>
      <c r="E148" s="24" t="e">
        <f t="shared" ref="E148" si="372">(E149/E150)-1</f>
        <v>#DIV/0!</v>
      </c>
      <c r="F148" s="66" t="e">
        <f t="shared" ref="F148:K148" si="373">(F149/F150)-1</f>
        <v>#DIV/0!</v>
      </c>
      <c r="G148" s="66" t="e">
        <f t="shared" si="373"/>
        <v>#DIV/0!</v>
      </c>
      <c r="H148" s="24" t="e">
        <f t="shared" si="373"/>
        <v>#DIV/0!</v>
      </c>
      <c r="I148" s="24" t="e">
        <f t="shared" si="373"/>
        <v>#DIV/0!</v>
      </c>
      <c r="J148" s="24" t="e">
        <f t="shared" si="373"/>
        <v>#DIV/0!</v>
      </c>
      <c r="K148" s="24" t="e">
        <f t="shared" si="373"/>
        <v>#DIV/0!</v>
      </c>
      <c r="L148" s="24" t="e">
        <f t="shared" ref="L148:M148" si="374">(L149/L150)-1</f>
        <v>#DIV/0!</v>
      </c>
      <c r="M148" s="24" t="e">
        <f t="shared" si="374"/>
        <v>#DIV/0!</v>
      </c>
      <c r="N148" s="24" t="e">
        <f t="shared" ref="N148" si="375">(N149/N150)-1</f>
        <v>#DIV/0!</v>
      </c>
      <c r="O148" s="24" t="e">
        <f t="shared" ref="O148" si="376">(O149/O150)-1</f>
        <v>#DIV/0!</v>
      </c>
    </row>
    <row r="149" spans="1:16">
      <c r="A149" s="200"/>
      <c r="B149" s="466"/>
      <c r="C149" s="38" t="s">
        <v>308</v>
      </c>
      <c r="D149" s="8">
        <f>D145</f>
        <v>0</v>
      </c>
      <c r="E149" s="9">
        <f>D149+E145</f>
        <v>0</v>
      </c>
      <c r="F149" s="8">
        <f t="shared" ref="F149:H150" si="377">F145</f>
        <v>0</v>
      </c>
      <c r="G149" s="8">
        <f t="shared" si="377"/>
        <v>0</v>
      </c>
      <c r="H149" s="9">
        <f t="shared" si="377"/>
        <v>0</v>
      </c>
      <c r="I149" s="9">
        <f t="shared" ref="I149:J149" si="378">I145</f>
        <v>0</v>
      </c>
      <c r="J149" s="9">
        <f t="shared" si="378"/>
        <v>0</v>
      </c>
      <c r="K149" s="9">
        <f t="shared" ref="K149:L149" si="379">K145</f>
        <v>0</v>
      </c>
      <c r="L149" s="9">
        <f t="shared" si="379"/>
        <v>0</v>
      </c>
      <c r="M149" s="9">
        <f t="shared" ref="M149" si="380">M145</f>
        <v>0</v>
      </c>
      <c r="N149" s="9">
        <f t="shared" ref="N149" si="381">N145</f>
        <v>0</v>
      </c>
      <c r="O149" s="9">
        <f t="shared" ref="O149" si="382">O145</f>
        <v>0</v>
      </c>
    </row>
    <row r="150" spans="1:16" ht="15.75" thickBot="1">
      <c r="A150" s="200"/>
      <c r="B150" s="467"/>
      <c r="C150" s="67" t="s">
        <v>88</v>
      </c>
      <c r="D150" s="79">
        <f>D146</f>
        <v>0</v>
      </c>
      <c r="E150" s="68">
        <f>D150+E146</f>
        <v>0</v>
      </c>
      <c r="F150" s="79">
        <f t="shared" si="377"/>
        <v>0</v>
      </c>
      <c r="G150" s="79">
        <f t="shared" si="377"/>
        <v>0</v>
      </c>
      <c r="H150" s="68">
        <f t="shared" si="377"/>
        <v>0</v>
      </c>
      <c r="I150" s="68">
        <f t="shared" ref="I150:J150" si="383">I146</f>
        <v>0</v>
      </c>
      <c r="J150" s="68">
        <f t="shared" si="383"/>
        <v>0</v>
      </c>
      <c r="K150" s="68">
        <f t="shared" ref="K150:L150" si="384">K146</f>
        <v>0</v>
      </c>
      <c r="L150" s="68">
        <f t="shared" si="384"/>
        <v>0</v>
      </c>
      <c r="M150" s="68">
        <f t="shared" ref="M150" si="385">M146</f>
        <v>0</v>
      </c>
      <c r="N150" s="68">
        <f t="shared" ref="N150" si="386">N146</f>
        <v>0</v>
      </c>
      <c r="O150" s="68">
        <f t="shared" ref="O150" si="387">O146</f>
        <v>0</v>
      </c>
    </row>
    <row r="151" spans="1:16" ht="26.25" customHeight="1">
      <c r="A151" s="200"/>
      <c r="B151" s="504" t="s">
        <v>32</v>
      </c>
      <c r="C151" s="80" t="s">
        <v>33</v>
      </c>
      <c r="D151" s="81" t="e">
        <f>D109/(D25+D13)</f>
        <v>#VALUE!</v>
      </c>
      <c r="E151" s="81" t="e">
        <f t="shared" ref="E151" si="388">E109/(E25+E13)</f>
        <v>#VALUE!</v>
      </c>
      <c r="F151" s="81" t="e">
        <f t="shared" ref="F151:K151" si="389">F109/(F25+F13)</f>
        <v>#VALUE!</v>
      </c>
      <c r="G151" s="81" t="e">
        <f t="shared" si="389"/>
        <v>#VALUE!</v>
      </c>
      <c r="H151" s="81" t="e">
        <f t="shared" si="389"/>
        <v>#VALUE!</v>
      </c>
      <c r="I151" s="81" t="e">
        <f t="shared" si="389"/>
        <v>#VALUE!</v>
      </c>
      <c r="J151" s="81" t="e">
        <f t="shared" si="389"/>
        <v>#VALUE!</v>
      </c>
      <c r="K151" s="81" t="e">
        <f t="shared" si="389"/>
        <v>#VALUE!</v>
      </c>
      <c r="L151" s="81" t="e">
        <f t="shared" ref="L151:M151" si="390">L109/(L25+L13)</f>
        <v>#VALUE!</v>
      </c>
      <c r="M151" s="81" t="e">
        <f t="shared" si="390"/>
        <v>#VALUE!</v>
      </c>
      <c r="N151" s="81" t="e">
        <f t="shared" ref="N151" si="391">N109/(N25+N13)</f>
        <v>#VALUE!</v>
      </c>
      <c r="O151" s="81" t="e">
        <f t="shared" ref="O151" si="392">O109/(O25+O13)</f>
        <v>#VALUE!</v>
      </c>
    </row>
    <row r="152" spans="1:16" ht="26.25" customHeight="1">
      <c r="A152" s="200"/>
      <c r="B152" s="505"/>
      <c r="C152" s="82" t="s">
        <v>34</v>
      </c>
      <c r="D152" s="83" t="e">
        <f>+D115/D109</f>
        <v>#DIV/0!</v>
      </c>
      <c r="E152" s="83" t="e">
        <f t="shared" ref="E152" si="393">+E115/E109</f>
        <v>#REF!</v>
      </c>
      <c r="F152" s="83" t="e">
        <f t="shared" ref="F152:K152" si="394">+F115/F109</f>
        <v>#REF!</v>
      </c>
      <c r="G152" s="83" t="e">
        <f t="shared" si="394"/>
        <v>#REF!</v>
      </c>
      <c r="H152" s="83" t="e">
        <f t="shared" si="394"/>
        <v>#REF!</v>
      </c>
      <c r="I152" s="83" t="e">
        <f t="shared" si="394"/>
        <v>#REF!</v>
      </c>
      <c r="J152" s="83" t="e">
        <f t="shared" si="394"/>
        <v>#REF!</v>
      </c>
      <c r="K152" s="83" t="e">
        <f t="shared" si="394"/>
        <v>#REF!</v>
      </c>
      <c r="L152" s="83" t="e">
        <f t="shared" ref="L152:M152" si="395">+L115/L109</f>
        <v>#REF!</v>
      </c>
      <c r="M152" s="83" t="e">
        <f t="shared" si="395"/>
        <v>#REF!</v>
      </c>
      <c r="N152" s="83" t="e">
        <f t="shared" ref="N152" si="396">+N115/N109</f>
        <v>#REF!</v>
      </c>
      <c r="O152" s="83" t="e">
        <f t="shared" ref="O152" si="397">+O115/O109</f>
        <v>#REF!</v>
      </c>
    </row>
    <row r="153" spans="1:16" ht="27" customHeight="1" thickBot="1">
      <c r="A153" s="207"/>
      <c r="B153" s="513"/>
      <c r="C153" s="208" t="s">
        <v>293</v>
      </c>
      <c r="D153" s="209" t="e">
        <f>(D139+D145)/(D127+D133)</f>
        <v>#DIV/0!</v>
      </c>
      <c r="E153" s="209" t="e">
        <f t="shared" ref="E153" si="398">(E139+E145)/(E127+E133)</f>
        <v>#DIV/0!</v>
      </c>
      <c r="F153" s="209" t="e">
        <f t="shared" ref="F153:K153" si="399">(F139+F145)/(F127+F133)</f>
        <v>#DIV/0!</v>
      </c>
      <c r="G153" s="209" t="e">
        <f t="shared" si="399"/>
        <v>#DIV/0!</v>
      </c>
      <c r="H153" s="209" t="e">
        <f t="shared" si="399"/>
        <v>#DIV/0!</v>
      </c>
      <c r="I153" s="209" t="e">
        <f t="shared" si="399"/>
        <v>#DIV/0!</v>
      </c>
      <c r="J153" s="209" t="e">
        <f t="shared" si="399"/>
        <v>#DIV/0!</v>
      </c>
      <c r="K153" s="209" t="e">
        <f t="shared" si="399"/>
        <v>#DIV/0!</v>
      </c>
      <c r="L153" s="209" t="e">
        <f t="shared" ref="L153:M153" si="400">(L139+L145)/(L127+L133)</f>
        <v>#DIV/0!</v>
      </c>
      <c r="M153" s="209" t="e">
        <f t="shared" si="400"/>
        <v>#DIV/0!</v>
      </c>
      <c r="N153" s="209" t="e">
        <f t="shared" ref="N153" si="401">(N139+N145)/(N127+N133)</f>
        <v>#DIV/0!</v>
      </c>
      <c r="O153" s="209" t="e">
        <f t="shared" ref="O153" si="402">(O139+O145)/(O127+O133)</f>
        <v>#DIV/0!</v>
      </c>
    </row>
    <row r="154" spans="1:16" ht="21" customHeight="1" thickTop="1">
      <c r="A154" s="514" t="s">
        <v>21</v>
      </c>
      <c r="B154" s="515" t="s">
        <v>77</v>
      </c>
      <c r="C154" s="46" t="s">
        <v>309</v>
      </c>
      <c r="D154" s="8">
        <f>+PIGOO!B57</f>
        <v>177750</v>
      </c>
      <c r="E154" s="8">
        <f>+PIGOO!C57</f>
        <v>193831</v>
      </c>
      <c r="F154" s="8">
        <f>+PIGOO!D57</f>
        <v>177749</v>
      </c>
      <c r="G154" s="402">
        <f>+PIGOO!E57</f>
        <v>185944</v>
      </c>
      <c r="H154" s="8">
        <f>+PIGOO!F57</f>
        <v>123511</v>
      </c>
      <c r="I154" s="8">
        <v>206060</v>
      </c>
      <c r="J154" s="8">
        <v>285532.94</v>
      </c>
      <c r="K154" s="8">
        <f>+PIGOO!I57</f>
        <v>341095</v>
      </c>
      <c r="L154" s="8">
        <f>+PIGOO!J57</f>
        <v>158262</v>
      </c>
      <c r="M154" s="402">
        <f>+PIGOO!K57</f>
        <v>170878</v>
      </c>
      <c r="N154" s="402">
        <f>+PIGOO!L57</f>
        <v>0</v>
      </c>
      <c r="O154" s="402">
        <f>+PIGOO!M57</f>
        <v>0</v>
      </c>
      <c r="P154" s="244">
        <v>8</v>
      </c>
    </row>
    <row r="155" spans="1:16" ht="21" customHeight="1" thickBot="1">
      <c r="A155" s="477"/>
      <c r="B155" s="515"/>
      <c r="C155" s="161" t="s">
        <v>330</v>
      </c>
      <c r="D155" s="26">
        <v>154572</v>
      </c>
      <c r="E155" s="27">
        <v>158096</v>
      </c>
      <c r="F155" s="27">
        <v>124697</v>
      </c>
      <c r="G155" s="411">
        <v>124697</v>
      </c>
      <c r="H155" s="411">
        <v>261930</v>
      </c>
      <c r="I155" s="411">
        <v>260089</v>
      </c>
      <c r="J155" s="27">
        <v>266003</v>
      </c>
      <c r="K155" s="40">
        <v>222032</v>
      </c>
      <c r="L155" s="411">
        <v>245087</v>
      </c>
      <c r="M155" s="411">
        <v>220332</v>
      </c>
      <c r="N155" s="411">
        <v>211753</v>
      </c>
      <c r="O155" s="411">
        <v>165116.16</v>
      </c>
    </row>
    <row r="156" spans="1:16" ht="21" customHeight="1">
      <c r="B156" s="515"/>
      <c r="C156" s="38" t="s">
        <v>320</v>
      </c>
      <c r="D156" s="84">
        <f>D154</f>
        <v>177750</v>
      </c>
      <c r="E156" s="85">
        <f t="shared" ref="E156:O156" si="403">D156+E154</f>
        <v>371581</v>
      </c>
      <c r="F156" s="85">
        <f t="shared" si="403"/>
        <v>549330</v>
      </c>
      <c r="G156" s="85">
        <f t="shared" si="403"/>
        <v>735274</v>
      </c>
      <c r="H156" s="85">
        <f t="shared" si="403"/>
        <v>858785</v>
      </c>
      <c r="I156" s="85">
        <f t="shared" si="403"/>
        <v>1064845</v>
      </c>
      <c r="J156" s="85">
        <f t="shared" si="403"/>
        <v>1350377.94</v>
      </c>
      <c r="K156" s="85">
        <f t="shared" si="403"/>
        <v>1691472.94</v>
      </c>
      <c r="L156" s="85">
        <f t="shared" si="403"/>
        <v>1849734.94</v>
      </c>
      <c r="M156" s="85">
        <f t="shared" si="403"/>
        <v>2020612.94</v>
      </c>
      <c r="N156" s="85">
        <f t="shared" si="403"/>
        <v>2020612.94</v>
      </c>
      <c r="O156" s="85">
        <f t="shared" si="403"/>
        <v>2020612.94</v>
      </c>
    </row>
    <row r="157" spans="1:16" ht="21" customHeight="1">
      <c r="B157" s="515"/>
      <c r="C157" s="39" t="s">
        <v>321</v>
      </c>
      <c r="D157" s="86">
        <f t="shared" ref="D157:I157" si="404">D154/D7</f>
        <v>1.1607481029686419</v>
      </c>
      <c r="E157" s="86">
        <f t="shared" si="404"/>
        <v>1.3966983239418351</v>
      </c>
      <c r="F157" s="86">
        <f t="shared" si="404"/>
        <v>1.1262910441141061</v>
      </c>
      <c r="G157" s="86">
        <f t="shared" si="404"/>
        <v>1.2179312513099978</v>
      </c>
      <c r="H157" s="86">
        <f t="shared" si="404"/>
        <v>0.79179808703233578</v>
      </c>
      <c r="I157" s="86">
        <f t="shared" si="404"/>
        <v>1.224557712764377</v>
      </c>
      <c r="J157" s="86">
        <f t="shared" ref="J157:K157" si="405">J154/J7</f>
        <v>1.6788944682252223</v>
      </c>
      <c r="K157" s="86">
        <f t="shared" si="405"/>
        <v>2.0768589103485229</v>
      </c>
      <c r="L157" s="86">
        <f t="shared" ref="L157:M157" si="406">L154/L7</f>
        <v>1.0003602920261685</v>
      </c>
      <c r="M157" s="86">
        <f t="shared" si="406"/>
        <v>1.1558462641540064</v>
      </c>
      <c r="N157" s="86">
        <f t="shared" ref="N157:O157" si="407">N154/N7</f>
        <v>0</v>
      </c>
      <c r="O157" s="86">
        <f t="shared" si="407"/>
        <v>0</v>
      </c>
    </row>
    <row r="158" spans="1:16" ht="21" customHeight="1" thickBot="1">
      <c r="B158" s="515"/>
      <c r="C158" s="38" t="s">
        <v>90</v>
      </c>
      <c r="D158" s="188">
        <f>D155/D8</f>
        <v>1.3097324136996051</v>
      </c>
      <c r="E158" s="188">
        <f t="shared" ref="E158:F158" si="408">E155/E8</f>
        <v>1.4406940293066997</v>
      </c>
      <c r="F158" s="188">
        <f t="shared" si="408"/>
        <v>1.1059208542490733</v>
      </c>
      <c r="G158" s="188">
        <f t="shared" ref="G158" si="409">G155/G8</f>
        <v>0.97803869894977924</v>
      </c>
      <c r="H158" s="188">
        <f t="shared" ref="H158:I158" si="410">H155/H8</f>
        <v>1.8195901354637027</v>
      </c>
      <c r="I158" s="188" t="e">
        <f t="shared" si="410"/>
        <v>#DIV/0!</v>
      </c>
      <c r="J158" s="188">
        <f t="shared" ref="J158:K158" si="411">J155/J8</f>
        <v>1.7545098970391331</v>
      </c>
      <c r="K158" s="188">
        <f t="shared" si="411"/>
        <v>1.4479529417902466</v>
      </c>
      <c r="L158" s="188">
        <f t="shared" ref="L158:M158" si="412">L155/L8</f>
        <v>1.9434074473483887</v>
      </c>
      <c r="M158" s="188">
        <f t="shared" si="412"/>
        <v>1.7677471116816432</v>
      </c>
      <c r="N158" s="188">
        <f t="shared" ref="N158:O158" si="413">N155/N8</f>
        <v>1.7665662776243669</v>
      </c>
      <c r="O158" s="188">
        <f t="shared" si="413"/>
        <v>1.2718168023600638</v>
      </c>
    </row>
    <row r="159" spans="1:16" ht="21" customHeight="1">
      <c r="A159" s="497" t="s">
        <v>78</v>
      </c>
      <c r="B159" s="516"/>
      <c r="C159" s="251" t="s">
        <v>76</v>
      </c>
      <c r="D159" s="26">
        <f>+PIGOO!B52</f>
        <v>75656</v>
      </c>
      <c r="E159" s="26">
        <f>+PIGOO!C52</f>
        <v>75473</v>
      </c>
      <c r="F159" s="26">
        <f>+PIGOO!D52</f>
        <v>65940</v>
      </c>
      <c r="G159" s="26">
        <f>+PIGOO!E52</f>
        <v>70227</v>
      </c>
      <c r="H159" s="26">
        <f>+PIGOO!F52</f>
        <v>80159</v>
      </c>
      <c r="I159" s="26">
        <f>+PIGOO!G52</f>
        <v>80491</v>
      </c>
      <c r="J159" s="26">
        <f>+PIGOO!H52</f>
        <v>60648</v>
      </c>
      <c r="K159" s="26">
        <f>+PIGOO!I52</f>
        <v>99855</v>
      </c>
      <c r="L159" s="26">
        <f>+PIGOO!J52</f>
        <v>69639</v>
      </c>
      <c r="M159" s="26">
        <f>+PIGOO!K52</f>
        <v>78022</v>
      </c>
      <c r="N159" s="26">
        <f>+PIGOO!L52</f>
        <v>0</v>
      </c>
      <c r="O159" s="26">
        <f>+PIGOO!M52</f>
        <v>0</v>
      </c>
      <c r="P159" s="244">
        <v>9</v>
      </c>
    </row>
    <row r="160" spans="1:16" ht="21" customHeight="1">
      <c r="A160" s="498"/>
      <c r="B160" s="516"/>
      <c r="C160" s="232" t="s">
        <v>102</v>
      </c>
      <c r="D160" s="239">
        <f>+D159/D7</f>
        <v>0.49405096190264736</v>
      </c>
      <c r="E160" s="239">
        <f>+E159/E7</f>
        <v>0.54383980169767543</v>
      </c>
      <c r="F160" s="239">
        <f t="shared" ref="F160:G160" si="414">+F159/F7</f>
        <v>0.41782306200813596</v>
      </c>
      <c r="G160" s="239">
        <f t="shared" si="414"/>
        <v>0.45998611402221756</v>
      </c>
      <c r="H160" s="239">
        <f t="shared" ref="H160:I160" si="415">+H159/H7</f>
        <v>0.51387927276457168</v>
      </c>
      <c r="I160" s="239">
        <f t="shared" si="415"/>
        <v>0.47833579956380406</v>
      </c>
      <c r="J160" s="239">
        <f t="shared" ref="J160:K160" si="416">+J159/J7</f>
        <v>0.35660190977938755</v>
      </c>
      <c r="K160" s="239">
        <f t="shared" si="416"/>
        <v>0.60799702866606586</v>
      </c>
      <c r="L160" s="239">
        <f t="shared" ref="L160:M160" si="417">+L159/L7</f>
        <v>0.44018204228690622</v>
      </c>
      <c r="M160" s="239">
        <f t="shared" si="417"/>
        <v>0.52775335164166182</v>
      </c>
      <c r="N160" s="239">
        <f t="shared" ref="N160:O160" si="418">+N159/N7</f>
        <v>0</v>
      </c>
      <c r="O160" s="239">
        <f t="shared" si="418"/>
        <v>0</v>
      </c>
    </row>
    <row r="161" spans="1:16" ht="21" customHeight="1" thickBot="1">
      <c r="A161" s="499"/>
      <c r="B161" s="517"/>
      <c r="C161" s="189" t="s">
        <v>79</v>
      </c>
      <c r="D161" s="210">
        <f>D154/D159</f>
        <v>2.349450142751401</v>
      </c>
      <c r="E161" s="210">
        <f t="shared" ref="E161:F161" si="419">E154/E159</f>
        <v>2.5682164482662673</v>
      </c>
      <c r="F161" s="210">
        <f t="shared" si="419"/>
        <v>2.695617227782833</v>
      </c>
      <c r="G161" s="210">
        <f t="shared" ref="G161" si="420">G154/G159</f>
        <v>2.6477565608669029</v>
      </c>
      <c r="H161" s="210">
        <f t="shared" ref="H161:I161" si="421">H154/H159</f>
        <v>1.5408251100936887</v>
      </c>
      <c r="I161" s="210">
        <f t="shared" si="421"/>
        <v>2.5600377681976867</v>
      </c>
      <c r="J161" s="210">
        <f t="shared" ref="J161:K161" si="422">J154/J159</f>
        <v>4.7080355493998152</v>
      </c>
      <c r="K161" s="210">
        <f t="shared" si="422"/>
        <v>3.4159030594361823</v>
      </c>
      <c r="L161" s="210">
        <f t="shared" ref="L161:M161" si="423">L154/L159</f>
        <v>2.2726058674018867</v>
      </c>
      <c r="M161" s="210">
        <f t="shared" si="423"/>
        <v>2.190125861936377</v>
      </c>
      <c r="N161" s="210" t="e">
        <f t="shared" ref="N161:O161" si="424">N154/N159</f>
        <v>#DIV/0!</v>
      </c>
      <c r="O161" s="210" t="e">
        <f t="shared" si="424"/>
        <v>#DIV/0!</v>
      </c>
    </row>
    <row r="162" spans="1:16" ht="15" customHeight="1">
      <c r="A162" s="508"/>
      <c r="B162" s="522" t="s">
        <v>35</v>
      </c>
      <c r="C162" s="252" t="s">
        <v>322</v>
      </c>
      <c r="D162" s="35">
        <f>+PIGOO!B107</f>
        <v>0</v>
      </c>
      <c r="E162" s="35">
        <f>+PIGOO!C107</f>
        <v>0</v>
      </c>
      <c r="F162" s="35">
        <f>+PIGOO!D107</f>
        <v>58</v>
      </c>
      <c r="G162" s="402">
        <f>+PIGOO!E107</f>
        <v>0</v>
      </c>
      <c r="H162" s="35">
        <f>+PIGOO!F107</f>
        <v>0</v>
      </c>
      <c r="I162" s="35">
        <f>+PIGOO!G107</f>
        <v>18</v>
      </c>
      <c r="J162" s="35">
        <f>+PIGOO!H107</f>
        <v>21</v>
      </c>
      <c r="K162" s="35">
        <f>+PIGOO!I107</f>
        <v>32</v>
      </c>
      <c r="L162" s="35">
        <f>+PIGOO!J107</f>
        <v>52</v>
      </c>
      <c r="M162" s="35">
        <f>+PIGOO!K107</f>
        <v>20</v>
      </c>
      <c r="N162" s="35">
        <f>+PIGOO!L107</f>
        <v>0</v>
      </c>
      <c r="O162" s="35">
        <f>+PIGOO!M107</f>
        <v>0</v>
      </c>
      <c r="P162" s="244">
        <v>10</v>
      </c>
    </row>
    <row r="163" spans="1:16">
      <c r="A163" s="508"/>
      <c r="B163" s="523"/>
      <c r="C163" s="14" t="s">
        <v>323</v>
      </c>
      <c r="D163" s="8">
        <f>D162</f>
        <v>0</v>
      </c>
      <c r="E163" s="9">
        <f>D163+E162</f>
        <v>0</v>
      </c>
      <c r="F163" s="8">
        <f t="shared" ref="F163" si="425">F162</f>
        <v>58</v>
      </c>
      <c r="G163" s="8">
        <f t="shared" ref="G163:O163" si="426">F163+G162</f>
        <v>58</v>
      </c>
      <c r="H163" s="8">
        <f t="shared" si="426"/>
        <v>58</v>
      </c>
      <c r="I163" s="8">
        <f t="shared" si="426"/>
        <v>76</v>
      </c>
      <c r="J163" s="8">
        <f t="shared" si="426"/>
        <v>97</v>
      </c>
      <c r="K163" s="8">
        <f t="shared" si="426"/>
        <v>129</v>
      </c>
      <c r="L163" s="9">
        <f t="shared" si="426"/>
        <v>181</v>
      </c>
      <c r="M163" s="9">
        <f t="shared" si="426"/>
        <v>201</v>
      </c>
      <c r="N163" s="9">
        <f t="shared" si="426"/>
        <v>201</v>
      </c>
      <c r="O163" s="9">
        <f t="shared" si="426"/>
        <v>201</v>
      </c>
    </row>
    <row r="164" spans="1:16" ht="45">
      <c r="A164" s="508"/>
      <c r="B164" s="523"/>
      <c r="C164" s="252" t="s">
        <v>324</v>
      </c>
      <c r="D164" s="35">
        <f>+PIGOO!B108</f>
        <v>0</v>
      </c>
      <c r="E164" s="35">
        <f>+PIGOO!C108</f>
        <v>0</v>
      </c>
      <c r="F164" s="35">
        <f>+PIGOO!D108</f>
        <v>40</v>
      </c>
      <c r="G164" s="35">
        <f>+PIGOO!E108</f>
        <v>0</v>
      </c>
      <c r="H164" s="35">
        <f>+PIGOO!F108</f>
        <v>3</v>
      </c>
      <c r="I164" s="35">
        <f>+PIGOO!G108</f>
        <v>5</v>
      </c>
      <c r="J164" s="35">
        <f>+PIGOO!H108</f>
        <v>8</v>
      </c>
      <c r="K164" s="35">
        <f>+PIGOO!I108</f>
        <v>8</v>
      </c>
      <c r="L164" s="35">
        <f>+PIGOO!J108</f>
        <v>24</v>
      </c>
      <c r="M164" s="35">
        <f>+PIGOO!K108</f>
        <v>15</v>
      </c>
      <c r="N164" s="35">
        <f>+PIGOO!L108</f>
        <v>0</v>
      </c>
      <c r="O164" s="35">
        <f>+PIGOO!M108</f>
        <v>0</v>
      </c>
      <c r="P164" s="244">
        <v>11</v>
      </c>
    </row>
    <row r="165" spans="1:16" ht="15.75" thickBot="1">
      <c r="A165" s="508"/>
      <c r="B165" s="523"/>
      <c r="C165" s="14" t="s">
        <v>331</v>
      </c>
      <c r="D165" s="8">
        <f>D164</f>
        <v>0</v>
      </c>
      <c r="E165" s="9">
        <f>D165+E164</f>
        <v>0</v>
      </c>
      <c r="F165" s="8">
        <f t="shared" ref="F165" si="427">F164</f>
        <v>40</v>
      </c>
      <c r="G165" s="8">
        <f t="shared" ref="G165:O165" si="428">+F165+G164</f>
        <v>40</v>
      </c>
      <c r="H165" s="8">
        <f t="shared" si="428"/>
        <v>43</v>
      </c>
      <c r="I165" s="8">
        <f t="shared" si="428"/>
        <v>48</v>
      </c>
      <c r="J165" s="8">
        <f t="shared" si="428"/>
        <v>56</v>
      </c>
      <c r="K165" s="8">
        <f t="shared" si="428"/>
        <v>64</v>
      </c>
      <c r="L165" s="9">
        <f t="shared" si="428"/>
        <v>88</v>
      </c>
      <c r="M165" s="9">
        <f t="shared" si="428"/>
        <v>103</v>
      </c>
      <c r="N165" s="9">
        <f t="shared" si="428"/>
        <v>103</v>
      </c>
      <c r="O165" s="9">
        <f t="shared" si="428"/>
        <v>103</v>
      </c>
    </row>
    <row r="166" spans="1:16" ht="21.75" thickBot="1">
      <c r="A166" s="508"/>
      <c r="B166" s="523"/>
      <c r="C166" s="87" t="s">
        <v>36</v>
      </c>
      <c r="D166" s="88" t="e">
        <f t="shared" ref="D166:E166" si="429">D165/D163</f>
        <v>#DIV/0!</v>
      </c>
      <c r="E166" s="89" t="e">
        <f t="shared" si="429"/>
        <v>#DIV/0!</v>
      </c>
      <c r="F166" s="89"/>
      <c r="G166" s="89"/>
      <c r="H166" s="89"/>
      <c r="I166" s="89"/>
      <c r="J166" s="89"/>
      <c r="K166" s="89"/>
      <c r="L166" s="89"/>
      <c r="M166" s="89"/>
      <c r="N166" s="89"/>
      <c r="O166" s="89"/>
    </row>
    <row r="167" spans="1:16" ht="30">
      <c r="A167" s="508"/>
      <c r="B167" s="523"/>
      <c r="C167" s="237" t="s">
        <v>328</v>
      </c>
      <c r="D167" s="90">
        <f>+PIGOO!B109</f>
        <v>0</v>
      </c>
      <c r="E167" s="90">
        <f>+PIGOO!C109</f>
        <v>0</v>
      </c>
      <c r="F167" s="90">
        <f>+PIGOO!D109</f>
        <v>377.13</v>
      </c>
      <c r="G167" s="90">
        <f>+PIGOO!E109</f>
        <v>0</v>
      </c>
      <c r="H167" s="90">
        <f>+PIGOO!F109</f>
        <v>0</v>
      </c>
      <c r="I167" s="90">
        <f>+PIGOO!G109</f>
        <v>0</v>
      </c>
      <c r="J167" s="90">
        <f>+PIGOO!H109</f>
        <v>0</v>
      </c>
      <c r="K167" s="90">
        <f>+PIGOO!I109</f>
        <v>4101.09</v>
      </c>
      <c r="L167" s="90">
        <f>+PIGOO!J109</f>
        <v>4407.24</v>
      </c>
      <c r="M167" s="90">
        <f>+PIGOO!K109</f>
        <v>1033.1600000000001</v>
      </c>
      <c r="N167" s="90">
        <f>+PIGOO!L109</f>
        <v>1034.45</v>
      </c>
      <c r="O167" s="90">
        <f>+PIGOO!M109</f>
        <v>2477.59</v>
      </c>
      <c r="P167" s="244">
        <v>12</v>
      </c>
    </row>
    <row r="168" spans="1:16" ht="30.75" thickBot="1">
      <c r="A168" s="508"/>
      <c r="B168" s="523"/>
      <c r="C168" s="211" t="s">
        <v>329</v>
      </c>
      <c r="D168" s="404">
        <f>D167</f>
        <v>0</v>
      </c>
      <c r="E168" s="404">
        <f t="shared" ref="E168:O168" si="430">D168+E167</f>
        <v>0</v>
      </c>
      <c r="F168" s="404">
        <f t="shared" si="430"/>
        <v>377.13</v>
      </c>
      <c r="G168" s="404">
        <f t="shared" si="430"/>
        <v>377.13</v>
      </c>
      <c r="H168" s="404">
        <f t="shared" si="430"/>
        <v>377.13</v>
      </c>
      <c r="I168" s="404">
        <f t="shared" si="430"/>
        <v>377.13</v>
      </c>
      <c r="J168" s="404">
        <f t="shared" si="430"/>
        <v>377.13</v>
      </c>
      <c r="K168" s="404">
        <f t="shared" si="430"/>
        <v>4478.22</v>
      </c>
      <c r="L168" s="78">
        <f t="shared" si="430"/>
        <v>8885.4599999999991</v>
      </c>
      <c r="M168" s="78">
        <f t="shared" si="430"/>
        <v>9918.619999999999</v>
      </c>
      <c r="N168" s="78">
        <f t="shared" si="430"/>
        <v>10953.07</v>
      </c>
      <c r="O168" s="78">
        <f t="shared" si="430"/>
        <v>13430.66</v>
      </c>
    </row>
    <row r="169" spans="1:16">
      <c r="A169" s="508"/>
      <c r="B169" s="523"/>
      <c r="C169" s="253" t="s">
        <v>37</v>
      </c>
      <c r="D169" s="21">
        <f>+PIGOO!B204</f>
        <v>6897</v>
      </c>
      <c r="E169" s="21">
        <f>+PIGOO!C204</f>
        <v>6906</v>
      </c>
      <c r="F169" s="21">
        <f>+PIGOO!D204</f>
        <v>6920</v>
      </c>
      <c r="G169" s="21">
        <f>+PIGOO!E204</f>
        <v>6928</v>
      </c>
      <c r="H169" s="21">
        <f>+PIGOO!F204</f>
        <v>7187</v>
      </c>
      <c r="I169" s="21">
        <f>+PIGOO!G204</f>
        <v>7200</v>
      </c>
      <c r="J169" s="21">
        <f>+PIGOO!H204</f>
        <v>7203</v>
      </c>
      <c r="K169" s="21">
        <f>+PIGOO!I204</f>
        <v>7210</v>
      </c>
      <c r="L169" s="21">
        <f>+PIGOO!J204</f>
        <v>7220</v>
      </c>
      <c r="M169" s="21">
        <f>+PIGOO!K204</f>
        <v>7234</v>
      </c>
      <c r="N169" s="21">
        <f>+PIGOO!L204</f>
        <v>7233</v>
      </c>
      <c r="O169" s="21">
        <f>+PIGOO!M204</f>
        <v>7250</v>
      </c>
      <c r="P169" s="244">
        <v>13</v>
      </c>
    </row>
    <row r="170" spans="1:16">
      <c r="A170" s="508"/>
      <c r="B170" s="523"/>
      <c r="C170" s="91" t="s">
        <v>38</v>
      </c>
      <c r="D170" s="92">
        <f>+D169/D171</f>
        <v>1</v>
      </c>
      <c r="E170" s="92">
        <f t="shared" ref="E170:F170" si="431">+E169/E171</f>
        <v>1</v>
      </c>
      <c r="F170" s="92">
        <f t="shared" si="431"/>
        <v>1</v>
      </c>
      <c r="G170" s="92">
        <f t="shared" ref="G170" si="432">+G169/G171</f>
        <v>1</v>
      </c>
      <c r="H170" s="92">
        <f t="shared" ref="H170:I170" si="433">+H169/H171</f>
        <v>1</v>
      </c>
      <c r="I170" s="92">
        <f t="shared" si="433"/>
        <v>1</v>
      </c>
      <c r="J170" s="92">
        <f t="shared" ref="J170:K170" si="434">+J169/J171</f>
        <v>1</v>
      </c>
      <c r="K170" s="92">
        <f t="shared" si="434"/>
        <v>1</v>
      </c>
      <c r="L170" s="92">
        <f t="shared" ref="L170:M170" si="435">+L169/L171</f>
        <v>1</v>
      </c>
      <c r="M170" s="92">
        <f t="shared" si="435"/>
        <v>1</v>
      </c>
      <c r="N170" s="92">
        <f t="shared" ref="N170:O170" si="436">+N169/N171</f>
        <v>1</v>
      </c>
      <c r="O170" s="92">
        <f t="shared" si="436"/>
        <v>1.001519546898743</v>
      </c>
    </row>
    <row r="171" spans="1:16" s="94" customFormat="1" ht="21">
      <c r="A171" s="508"/>
      <c r="B171" s="523"/>
      <c r="C171" s="254" t="s">
        <v>39</v>
      </c>
      <c r="D171" s="93">
        <f>+PIGOO!B112</f>
        <v>6897</v>
      </c>
      <c r="E171" s="93">
        <f>+PIGOO!C112</f>
        <v>6906</v>
      </c>
      <c r="F171" s="93">
        <f>+PIGOO!D112</f>
        <v>6920</v>
      </c>
      <c r="G171" s="93">
        <f>+PIGOO!E112</f>
        <v>6928</v>
      </c>
      <c r="H171" s="93">
        <f>+PIGOO!F112</f>
        <v>7187</v>
      </c>
      <c r="I171" s="93">
        <f>+PIGOO!G112</f>
        <v>7200</v>
      </c>
      <c r="J171" s="93">
        <f>+PIGOO!H112</f>
        <v>7203</v>
      </c>
      <c r="K171" s="93">
        <f>+PIGOO!I112</f>
        <v>7210</v>
      </c>
      <c r="L171" s="93">
        <f>+PIGOO!J112</f>
        <v>7220</v>
      </c>
      <c r="M171" s="93">
        <f>+PIGOO!K112</f>
        <v>7234</v>
      </c>
      <c r="N171" s="93">
        <f>+PIGOO!L112</f>
        <v>7233</v>
      </c>
      <c r="O171" s="93">
        <f>+PIGOO!M112</f>
        <v>7239</v>
      </c>
      <c r="P171" s="245">
        <v>14</v>
      </c>
    </row>
    <row r="172" spans="1:16">
      <c r="A172" s="508"/>
      <c r="B172" s="523"/>
      <c r="C172" s="165" t="s">
        <v>40</v>
      </c>
      <c r="D172" s="8">
        <f>+PIGOO!B204</f>
        <v>6897</v>
      </c>
      <c r="E172" s="8">
        <f>+PIGOO!C204</f>
        <v>6906</v>
      </c>
      <c r="F172" s="8">
        <f>+PIGOO!D204</f>
        <v>6920</v>
      </c>
      <c r="G172" s="8">
        <f>+PIGOO!E204</f>
        <v>6928</v>
      </c>
      <c r="H172" s="9">
        <f>+PIGOO!F204</f>
        <v>7187</v>
      </c>
      <c r="I172" s="9">
        <f>+PIGOO!G204</f>
        <v>7200</v>
      </c>
      <c r="J172" s="9">
        <f>+PIGOO!H204</f>
        <v>7203</v>
      </c>
      <c r="K172" s="9">
        <f>+PIGOO!I204</f>
        <v>7210</v>
      </c>
      <c r="L172" s="9">
        <f>+PIGOO!J204</f>
        <v>7220</v>
      </c>
      <c r="M172" s="9">
        <f>+PIGOO!K204</f>
        <v>7234</v>
      </c>
      <c r="N172" s="9">
        <f>+PIGOO!L204</f>
        <v>7233</v>
      </c>
      <c r="O172" s="9">
        <f>+PIGOO!M204</f>
        <v>7250</v>
      </c>
    </row>
    <row r="173" spans="1:16">
      <c r="A173" s="508"/>
      <c r="B173" s="523"/>
      <c r="C173" s="95" t="s">
        <v>41</v>
      </c>
      <c r="D173" s="66">
        <f>D172/D171</f>
        <v>1</v>
      </c>
      <c r="E173" s="66">
        <f t="shared" ref="E173:F173" si="437">E172/E171</f>
        <v>1</v>
      </c>
      <c r="F173" s="66">
        <f t="shared" si="437"/>
        <v>1</v>
      </c>
      <c r="G173" s="66">
        <f t="shared" ref="G173" si="438">G172/G171</f>
        <v>1</v>
      </c>
      <c r="H173" s="66">
        <f t="shared" ref="H173:I173" si="439">H172/H171</f>
        <v>1</v>
      </c>
      <c r="I173" s="66">
        <f t="shared" si="439"/>
        <v>1</v>
      </c>
      <c r="J173" s="66">
        <f t="shared" ref="J173:K173" si="440">J172/J171</f>
        <v>1</v>
      </c>
      <c r="K173" s="66">
        <f t="shared" si="440"/>
        <v>1</v>
      </c>
      <c r="L173" s="66">
        <f t="shared" ref="L173:M173" si="441">L172/L171</f>
        <v>1</v>
      </c>
      <c r="M173" s="66">
        <f t="shared" si="441"/>
        <v>1</v>
      </c>
      <c r="N173" s="66">
        <f t="shared" ref="N173:O173" si="442">N172/N171</f>
        <v>1</v>
      </c>
      <c r="O173" s="66">
        <f t="shared" si="442"/>
        <v>1.001519546898743</v>
      </c>
    </row>
    <row r="174" spans="1:16">
      <c r="A174" s="508"/>
      <c r="B174" s="523"/>
      <c r="C174" s="165" t="s">
        <v>42</v>
      </c>
      <c r="D174" s="8">
        <v>0</v>
      </c>
      <c r="E174" s="9"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6">
      <c r="A175" s="508"/>
      <c r="B175" s="523"/>
      <c r="C175" s="95" t="s">
        <v>43</v>
      </c>
      <c r="D175" s="66">
        <f>D174/D171</f>
        <v>0</v>
      </c>
      <c r="E175" s="66">
        <f t="shared" ref="E175:F175" si="443">E174/E171</f>
        <v>0</v>
      </c>
      <c r="F175" s="66">
        <f t="shared" si="443"/>
        <v>0</v>
      </c>
      <c r="G175" s="66">
        <f t="shared" ref="G175" si="444">G174/G171</f>
        <v>0</v>
      </c>
      <c r="H175" s="66">
        <f t="shared" ref="H175:I175" si="445">H174/H171</f>
        <v>0</v>
      </c>
      <c r="I175" s="66">
        <f t="shared" si="445"/>
        <v>0</v>
      </c>
      <c r="J175" s="66">
        <f t="shared" ref="J175:K175" si="446">J174/J171</f>
        <v>0</v>
      </c>
      <c r="K175" s="66">
        <f t="shared" si="446"/>
        <v>0</v>
      </c>
      <c r="L175" s="66">
        <f t="shared" ref="L175:M175" si="447">L174/L171</f>
        <v>0</v>
      </c>
      <c r="M175" s="66">
        <f t="shared" si="447"/>
        <v>0</v>
      </c>
      <c r="N175" s="66">
        <f t="shared" ref="N175:O175" si="448">N174/N171</f>
        <v>0</v>
      </c>
      <c r="O175" s="66">
        <f t="shared" si="448"/>
        <v>0</v>
      </c>
    </row>
    <row r="176" spans="1:16" ht="30">
      <c r="A176" s="508"/>
      <c r="B176" s="523"/>
      <c r="C176" s="166" t="s">
        <v>44</v>
      </c>
      <c r="D176" s="8">
        <v>0</v>
      </c>
      <c r="E176" s="9"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6" ht="30">
      <c r="A177" s="508"/>
      <c r="B177" s="523"/>
      <c r="C177" s="96" t="s">
        <v>45</v>
      </c>
      <c r="D177" s="66">
        <f>D176/D171</f>
        <v>0</v>
      </c>
      <c r="E177" s="66">
        <f t="shared" ref="E177:F177" si="449">E176/E171</f>
        <v>0</v>
      </c>
      <c r="F177" s="66">
        <f t="shared" si="449"/>
        <v>0</v>
      </c>
      <c r="G177" s="66">
        <f t="shared" ref="G177" si="450">G176/G171</f>
        <v>0</v>
      </c>
      <c r="H177" s="66">
        <f t="shared" ref="H177:I177" si="451">H176/H171</f>
        <v>0</v>
      </c>
      <c r="I177" s="66">
        <f t="shared" si="451"/>
        <v>0</v>
      </c>
      <c r="J177" s="66">
        <f t="shared" ref="J177:K177" si="452">J176/J171</f>
        <v>0</v>
      </c>
      <c r="K177" s="66">
        <f t="shared" si="452"/>
        <v>0</v>
      </c>
      <c r="L177" s="66">
        <f t="shared" ref="L177:M177" si="453">L176/L171</f>
        <v>0</v>
      </c>
      <c r="M177" s="66">
        <f t="shared" si="453"/>
        <v>0</v>
      </c>
      <c r="N177" s="66">
        <f t="shared" ref="N177:O177" si="454">N176/N171</f>
        <v>0</v>
      </c>
      <c r="O177" s="66">
        <f t="shared" si="454"/>
        <v>0</v>
      </c>
    </row>
    <row r="178" spans="1:16" ht="30">
      <c r="A178" s="508"/>
      <c r="B178" s="523"/>
      <c r="C178" s="166" t="s">
        <v>82</v>
      </c>
      <c r="D178" s="8">
        <v>0</v>
      </c>
      <c r="E178" s="9">
        <v>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6" ht="30.75" thickBot="1">
      <c r="A179" s="508"/>
      <c r="B179" s="523"/>
      <c r="C179" s="97" t="s">
        <v>46</v>
      </c>
      <c r="D179" s="98">
        <f t="shared" ref="D179:F179" si="455">D178/D171</f>
        <v>0</v>
      </c>
      <c r="E179" s="98">
        <f t="shared" si="455"/>
        <v>0</v>
      </c>
      <c r="F179" s="98">
        <f t="shared" si="455"/>
        <v>0</v>
      </c>
      <c r="G179" s="98">
        <f t="shared" ref="G179" si="456">G178/G171</f>
        <v>0</v>
      </c>
      <c r="H179" s="98">
        <f t="shared" ref="H179:I179" si="457">H178/H171</f>
        <v>0</v>
      </c>
      <c r="I179" s="98">
        <f t="shared" si="457"/>
        <v>0</v>
      </c>
      <c r="J179" s="98">
        <f t="shared" ref="J179:K179" si="458">J178/J171</f>
        <v>0</v>
      </c>
      <c r="K179" s="98">
        <f t="shared" si="458"/>
        <v>0</v>
      </c>
      <c r="L179" s="98">
        <f t="shared" ref="L179:M179" si="459">L178/L171</f>
        <v>0</v>
      </c>
      <c r="M179" s="98">
        <f t="shared" si="459"/>
        <v>0</v>
      </c>
      <c r="N179" s="98">
        <f t="shared" ref="N179:O179" si="460">N178/N171</f>
        <v>0</v>
      </c>
      <c r="O179" s="98">
        <f t="shared" si="460"/>
        <v>0</v>
      </c>
    </row>
    <row r="180" spans="1:16">
      <c r="A180" s="508"/>
      <c r="B180" s="523"/>
      <c r="C180" s="255" t="s">
        <v>310</v>
      </c>
      <c r="D180" s="240">
        <f>+PIGOO!B159</f>
        <v>3969</v>
      </c>
      <c r="E180" s="240">
        <f>+PIGOO!C159</f>
        <v>3812</v>
      </c>
      <c r="F180" s="240">
        <f>+PIGOO!D159</f>
        <v>4478</v>
      </c>
      <c r="G180" s="240">
        <f>+PIGOO!E159</f>
        <v>3608</v>
      </c>
      <c r="H180" s="240">
        <f>+PIGOO!F159</f>
        <v>4334</v>
      </c>
      <c r="I180" s="240">
        <f>+PIGOO!G159</f>
        <v>4219</v>
      </c>
      <c r="J180" s="240">
        <f>+PIGOO!H159</f>
        <v>3881</v>
      </c>
      <c r="K180" s="241">
        <v>3473</v>
      </c>
      <c r="L180" s="444">
        <v>2763</v>
      </c>
      <c r="M180" s="444">
        <v>2969</v>
      </c>
      <c r="N180" s="444">
        <v>2326</v>
      </c>
      <c r="O180" s="444">
        <v>2992</v>
      </c>
      <c r="P180" s="244">
        <v>15</v>
      </c>
    </row>
    <row r="181" spans="1:16">
      <c r="A181" s="508"/>
      <c r="B181" s="523"/>
      <c r="C181" s="167" t="s">
        <v>266</v>
      </c>
      <c r="D181" s="190">
        <v>3503</v>
      </c>
      <c r="E181" s="191">
        <v>2875</v>
      </c>
      <c r="F181" s="191">
        <v>4073</v>
      </c>
      <c r="G181" s="191">
        <v>4073</v>
      </c>
      <c r="H181" s="191">
        <v>4073</v>
      </c>
      <c r="I181" s="191"/>
      <c r="J181" s="191">
        <v>4001</v>
      </c>
      <c r="K181" s="191">
        <v>4380</v>
      </c>
      <c r="L181" s="442">
        <v>3444</v>
      </c>
      <c r="M181" s="443">
        <v>3969</v>
      </c>
      <c r="N181" s="443">
        <v>3969</v>
      </c>
      <c r="O181" s="443">
        <v>3969</v>
      </c>
    </row>
    <row r="182" spans="1:16" ht="15.75" thickBot="1">
      <c r="A182" s="508"/>
      <c r="B182" s="523"/>
      <c r="C182" s="233" t="s">
        <v>311</v>
      </c>
      <c r="D182" s="98">
        <f>+D180/D171</f>
        <v>0.57546759460635055</v>
      </c>
      <c r="E182" s="98">
        <f t="shared" ref="E182:F182" si="461">+E180/E171</f>
        <v>0.55198378221836086</v>
      </c>
      <c r="F182" s="98">
        <f t="shared" si="461"/>
        <v>0.64710982658959537</v>
      </c>
      <c r="G182" s="98">
        <f t="shared" ref="G182" si="462">+G180/G171</f>
        <v>0.52078521939953815</v>
      </c>
      <c r="H182" s="98">
        <f t="shared" ref="H182:J182" si="463">+H180/H171</f>
        <v>0.60303325448726863</v>
      </c>
      <c r="I182" s="98">
        <f t="shared" si="463"/>
        <v>0.58597222222222223</v>
      </c>
      <c r="J182" s="98">
        <f t="shared" si="463"/>
        <v>0.53880327641260584</v>
      </c>
      <c r="K182" s="98">
        <f t="shared" ref="K182:L182" si="464">+K180/K171</f>
        <v>0.48169209431345356</v>
      </c>
      <c r="L182" s="98">
        <f t="shared" si="464"/>
        <v>0.3826869806094183</v>
      </c>
      <c r="M182" s="98">
        <f t="shared" ref="M182:O182" si="465">+M180/M171</f>
        <v>0.41042300248824992</v>
      </c>
      <c r="N182" s="98">
        <f t="shared" si="465"/>
        <v>0.32158163970689896</v>
      </c>
      <c r="O182" s="98">
        <f t="shared" si="465"/>
        <v>0.41331675645807431</v>
      </c>
    </row>
    <row r="183" spans="1:16">
      <c r="A183" s="508"/>
      <c r="B183" s="523"/>
      <c r="C183" s="256" t="s">
        <v>103</v>
      </c>
      <c r="D183" s="241">
        <f>+PIGOO!B160</f>
        <v>1504</v>
      </c>
      <c r="E183" s="241">
        <f>+PIGOO!C160</f>
        <v>1504</v>
      </c>
      <c r="F183" s="241">
        <f>+PIGOO!D160</f>
        <v>1181</v>
      </c>
      <c r="G183" s="241">
        <f>+PIGOO!E160</f>
        <v>1223</v>
      </c>
      <c r="H183" s="241">
        <f>+PIGOO!F160</f>
        <v>1244</v>
      </c>
      <c r="I183" s="241">
        <f>+PIGOO!G160</f>
        <v>1244</v>
      </c>
      <c r="J183" s="241">
        <f>+PIGOO!H160</f>
        <v>1279</v>
      </c>
      <c r="K183" s="241">
        <f>+PIGOO!I160</f>
        <v>1282</v>
      </c>
      <c r="L183" s="241">
        <f>+PIGOO!J160</f>
        <v>1306</v>
      </c>
      <c r="M183" s="241">
        <f>+PIGOO!K160</f>
        <v>1312</v>
      </c>
      <c r="N183" s="241">
        <f>+PIGOO!L160</f>
        <v>872</v>
      </c>
      <c r="O183" s="241">
        <f>+PIGOO!M160</f>
        <v>878</v>
      </c>
      <c r="P183" s="244">
        <v>16</v>
      </c>
    </row>
    <row r="184" spans="1:16" ht="15.75" thickBot="1">
      <c r="A184" s="508"/>
      <c r="B184" s="524"/>
      <c r="C184" s="235" t="s">
        <v>104</v>
      </c>
      <c r="D184" s="98"/>
      <c r="E184" s="234">
        <v>0</v>
      </c>
      <c r="F184" s="234">
        <v>0</v>
      </c>
      <c r="G184" s="234">
        <v>0</v>
      </c>
      <c r="H184" s="234">
        <v>0</v>
      </c>
      <c r="I184" s="234">
        <v>0</v>
      </c>
      <c r="J184" s="234">
        <v>0</v>
      </c>
      <c r="K184" s="234">
        <v>0</v>
      </c>
      <c r="L184" s="234">
        <v>0</v>
      </c>
      <c r="M184" s="234">
        <v>0</v>
      </c>
      <c r="N184" s="234">
        <v>0</v>
      </c>
      <c r="O184" s="234"/>
    </row>
    <row r="185" spans="1:16" ht="30">
      <c r="A185" s="508"/>
      <c r="B185" s="153"/>
      <c r="C185" s="168" t="s">
        <v>47</v>
      </c>
      <c r="D185" s="99">
        <v>0</v>
      </c>
      <c r="E185" s="100">
        <v>0</v>
      </c>
      <c r="F185" s="100">
        <v>0</v>
      </c>
      <c r="G185" s="414">
        <v>157919</v>
      </c>
      <c r="H185" s="100">
        <v>0</v>
      </c>
      <c r="I185" s="100">
        <v>0</v>
      </c>
      <c r="J185" s="100"/>
      <c r="K185" s="100">
        <v>0</v>
      </c>
      <c r="L185" s="100">
        <v>0</v>
      </c>
      <c r="M185" s="100">
        <v>0</v>
      </c>
      <c r="N185" s="100">
        <v>0</v>
      </c>
      <c r="O185" s="414">
        <v>446664</v>
      </c>
      <c r="P185" s="246"/>
    </row>
    <row r="186" spans="1:16" ht="30">
      <c r="A186" s="508"/>
      <c r="B186" s="153"/>
      <c r="C186" s="212" t="s">
        <v>312</v>
      </c>
      <c r="D186" s="101">
        <f>D185</f>
        <v>0</v>
      </c>
      <c r="E186" s="102">
        <f t="shared" ref="E186:O186" si="466">D186+E185</f>
        <v>0</v>
      </c>
      <c r="F186" s="102">
        <f t="shared" si="466"/>
        <v>0</v>
      </c>
      <c r="G186" s="412">
        <f t="shared" si="466"/>
        <v>157919</v>
      </c>
      <c r="H186" s="102">
        <f t="shared" si="466"/>
        <v>157919</v>
      </c>
      <c r="I186" s="102">
        <f t="shared" si="466"/>
        <v>157919</v>
      </c>
      <c r="J186" s="102">
        <f t="shared" si="466"/>
        <v>157919</v>
      </c>
      <c r="K186" s="102">
        <f t="shared" si="466"/>
        <v>157919</v>
      </c>
      <c r="L186" s="102">
        <f t="shared" si="466"/>
        <v>157919</v>
      </c>
      <c r="M186" s="102">
        <f t="shared" si="466"/>
        <v>157919</v>
      </c>
      <c r="N186" s="102">
        <f t="shared" si="466"/>
        <v>157919</v>
      </c>
      <c r="O186" s="102">
        <f t="shared" si="466"/>
        <v>604583</v>
      </c>
      <c r="P186" s="246"/>
    </row>
    <row r="187" spans="1:16" ht="15.75" thickBot="1">
      <c r="A187" s="508"/>
      <c r="B187" s="153"/>
      <c r="C187" s="169" t="s">
        <v>48</v>
      </c>
      <c r="D187" s="103">
        <v>0</v>
      </c>
      <c r="E187" s="104"/>
      <c r="F187" s="104"/>
      <c r="G187" s="413"/>
      <c r="H187" s="104"/>
      <c r="I187" s="104"/>
      <c r="J187" s="104"/>
      <c r="K187" s="104"/>
      <c r="L187" s="104"/>
      <c r="M187" s="104"/>
      <c r="N187" s="104"/>
      <c r="O187" s="104"/>
    </row>
    <row r="188" spans="1:16" ht="31.5">
      <c r="A188" s="508"/>
      <c r="B188" s="153">
        <v>15</v>
      </c>
      <c r="C188" s="170" t="s">
        <v>267</v>
      </c>
      <c r="D188" s="105"/>
      <c r="E188" s="106">
        <v>18</v>
      </c>
      <c r="F188" s="407">
        <v>8</v>
      </c>
      <c r="G188" s="407">
        <v>8</v>
      </c>
      <c r="H188" s="106">
        <v>8</v>
      </c>
      <c r="I188" s="106">
        <v>8</v>
      </c>
      <c r="J188" s="411">
        <v>12</v>
      </c>
      <c r="K188" s="276">
        <v>12</v>
      </c>
      <c r="L188" s="36">
        <v>14</v>
      </c>
      <c r="M188" s="36">
        <v>4</v>
      </c>
      <c r="N188" s="449"/>
      <c r="O188" s="449"/>
    </row>
    <row r="189" spans="1:16" ht="30.75" thickBot="1">
      <c r="A189" s="508"/>
      <c r="B189" s="153"/>
      <c r="C189" s="107" t="s">
        <v>268</v>
      </c>
      <c r="D189" s="84">
        <f>+D188</f>
        <v>0</v>
      </c>
      <c r="E189" s="85">
        <f t="shared" ref="E189:O189" si="467">+D189+E188</f>
        <v>18</v>
      </c>
      <c r="F189" s="85">
        <f t="shared" si="467"/>
        <v>26</v>
      </c>
      <c r="G189" s="85">
        <f t="shared" si="467"/>
        <v>34</v>
      </c>
      <c r="H189" s="85">
        <f t="shared" si="467"/>
        <v>42</v>
      </c>
      <c r="I189" s="85">
        <f t="shared" si="467"/>
        <v>50</v>
      </c>
      <c r="J189" s="85">
        <f t="shared" si="467"/>
        <v>62</v>
      </c>
      <c r="K189" s="85">
        <f t="shared" si="467"/>
        <v>74</v>
      </c>
      <c r="L189" s="85">
        <f t="shared" si="467"/>
        <v>88</v>
      </c>
      <c r="M189" s="85">
        <f t="shared" si="467"/>
        <v>92</v>
      </c>
      <c r="N189" s="85">
        <f t="shared" si="467"/>
        <v>92</v>
      </c>
      <c r="O189" s="85">
        <f t="shared" si="467"/>
        <v>92</v>
      </c>
    </row>
    <row r="190" spans="1:16" ht="15.75" thickBot="1">
      <c r="A190" s="509"/>
      <c r="B190" s="154"/>
      <c r="C190" s="273" t="s">
        <v>49</v>
      </c>
      <c r="D190" s="108">
        <f>+PIGOO!B157</f>
        <v>0</v>
      </c>
      <c r="E190" s="108">
        <f>+PIGOO!C157</f>
        <v>0</v>
      </c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1:16">
      <c r="A191" s="500" t="s">
        <v>50</v>
      </c>
      <c r="B191" s="470" t="s">
        <v>51</v>
      </c>
      <c r="C191" s="257" t="s">
        <v>313</v>
      </c>
      <c r="D191" s="109">
        <f>+PIGOO!B189+PIGOO!B191+PIGOO!B193</f>
        <v>0</v>
      </c>
      <c r="E191" s="109" t="e">
        <f>+[3]PIGOO!C189+[3]PIGOO!C191+[3]PIGOO!C193</f>
        <v>#REF!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244">
        <v>17</v>
      </c>
    </row>
    <row r="192" spans="1:16">
      <c r="A192" s="500"/>
      <c r="B192" s="471"/>
      <c r="C192" s="260" t="s">
        <v>91</v>
      </c>
      <c r="D192" s="110">
        <v>0</v>
      </c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8"/>
      <c r="P192" s="247"/>
    </row>
    <row r="193" spans="1:16" ht="18.75">
      <c r="A193" s="500"/>
      <c r="B193" s="471"/>
      <c r="C193" s="111" t="s">
        <v>52</v>
      </c>
      <c r="D193" s="112">
        <f>D192-D191</f>
        <v>0</v>
      </c>
      <c r="E193" s="112" t="e">
        <f t="shared" ref="E193" si="468">E192-E191</f>
        <v>#REF!</v>
      </c>
      <c r="F193" s="112">
        <v>0</v>
      </c>
      <c r="G193" s="112">
        <v>0</v>
      </c>
      <c r="H193" s="112">
        <v>0</v>
      </c>
      <c r="I193" s="112">
        <v>0</v>
      </c>
      <c r="J193" s="112">
        <f t="shared" ref="J193:K193" si="469">J192-J191</f>
        <v>0</v>
      </c>
      <c r="K193" s="112">
        <f t="shared" si="469"/>
        <v>0</v>
      </c>
      <c r="L193" s="112">
        <f t="shared" ref="L193:M193" si="470">L192-L191</f>
        <v>0</v>
      </c>
      <c r="M193" s="112">
        <f t="shared" si="470"/>
        <v>0</v>
      </c>
      <c r="N193" s="112">
        <f t="shared" ref="N193" si="471">N192-N191</f>
        <v>0</v>
      </c>
      <c r="O193" s="26">
        <v>0</v>
      </c>
    </row>
    <row r="194" spans="1:16" ht="19.5" thickBot="1">
      <c r="A194" s="500"/>
      <c r="B194" s="472"/>
      <c r="C194" s="113" t="s">
        <v>53</v>
      </c>
      <c r="D194" s="114" t="e">
        <f>D193/D192</f>
        <v>#DIV/0!</v>
      </c>
      <c r="E194" s="114" t="e">
        <f t="shared" ref="E194:F194" si="472">E193/E192</f>
        <v>#REF!</v>
      </c>
      <c r="F194" s="114" t="e">
        <f t="shared" si="472"/>
        <v>#DIV/0!</v>
      </c>
      <c r="G194" s="114" t="e">
        <f t="shared" ref="G194" si="473">G193/G192</f>
        <v>#DIV/0!</v>
      </c>
      <c r="H194" s="114" t="e">
        <f t="shared" ref="H194:I194" si="474">H193/H192</f>
        <v>#DIV/0!</v>
      </c>
      <c r="I194" s="114" t="e">
        <f t="shared" si="474"/>
        <v>#DIV/0!</v>
      </c>
      <c r="J194" s="114"/>
      <c r="K194" s="114"/>
      <c r="L194" s="114"/>
      <c r="M194" s="114"/>
      <c r="N194" s="114"/>
      <c r="O194" s="115"/>
    </row>
    <row r="195" spans="1:16" s="117" customFormat="1">
      <c r="A195" s="500"/>
      <c r="B195" s="470" t="s">
        <v>54</v>
      </c>
      <c r="C195" s="258" t="s">
        <v>55</v>
      </c>
      <c r="D195" s="116">
        <f>+PIGOO!B188+PIGOO!B190+PIGOO!B192</f>
        <v>25</v>
      </c>
      <c r="E195" s="116">
        <v>25</v>
      </c>
      <c r="F195" s="116">
        <v>25</v>
      </c>
      <c r="G195" s="116">
        <v>25</v>
      </c>
      <c r="H195" s="116">
        <v>25</v>
      </c>
      <c r="I195" s="116">
        <v>25</v>
      </c>
      <c r="J195" s="116">
        <v>26</v>
      </c>
      <c r="K195" s="116">
        <v>26</v>
      </c>
      <c r="L195" s="116">
        <v>26</v>
      </c>
      <c r="M195" s="116">
        <v>26</v>
      </c>
      <c r="N195" s="116">
        <v>26</v>
      </c>
      <c r="O195" s="116">
        <v>26</v>
      </c>
      <c r="P195" s="248">
        <v>18</v>
      </c>
    </row>
    <row r="196" spans="1:16">
      <c r="A196" s="500"/>
      <c r="B196" s="471"/>
      <c r="C196" s="260" t="s">
        <v>91</v>
      </c>
      <c r="D196" s="8">
        <v>23</v>
      </c>
      <c r="E196" s="8">
        <v>23</v>
      </c>
      <c r="F196" s="8">
        <v>23</v>
      </c>
      <c r="G196" s="8">
        <v>23</v>
      </c>
      <c r="H196" s="8">
        <v>23</v>
      </c>
      <c r="I196" s="8">
        <v>23</v>
      </c>
      <c r="J196" s="8">
        <v>23</v>
      </c>
      <c r="K196" s="8">
        <v>23</v>
      </c>
      <c r="L196" s="8">
        <v>23</v>
      </c>
      <c r="M196" s="8">
        <v>23</v>
      </c>
      <c r="N196" s="8">
        <v>23</v>
      </c>
      <c r="O196" s="8">
        <v>23</v>
      </c>
    </row>
    <row r="197" spans="1:16" ht="18.75">
      <c r="A197" s="500"/>
      <c r="B197" s="471"/>
      <c r="C197" s="111" t="s">
        <v>52</v>
      </c>
      <c r="D197" s="26">
        <f>D196-D195</f>
        <v>-2</v>
      </c>
      <c r="E197" s="26">
        <f t="shared" ref="E197:F197" si="475">E196-E195</f>
        <v>-2</v>
      </c>
      <c r="F197" s="26">
        <f t="shared" si="475"/>
        <v>-2</v>
      </c>
      <c r="G197" s="26">
        <f t="shared" ref="G197" si="476">G196-G195</f>
        <v>-2</v>
      </c>
      <c r="H197" s="26">
        <f t="shared" ref="H197:J197" si="477">H196-H195</f>
        <v>-2</v>
      </c>
      <c r="I197" s="26">
        <f t="shared" si="477"/>
        <v>-2</v>
      </c>
      <c r="J197" s="26">
        <f t="shared" si="477"/>
        <v>-3</v>
      </c>
      <c r="K197" s="26">
        <f t="shared" ref="K197:L197" si="478">K196-K195</f>
        <v>-3</v>
      </c>
      <c r="L197" s="26">
        <f t="shared" si="478"/>
        <v>-3</v>
      </c>
      <c r="M197" s="26">
        <f t="shared" ref="M197:N197" si="479">M196-M195</f>
        <v>-3</v>
      </c>
      <c r="N197" s="26">
        <f t="shared" si="479"/>
        <v>-3</v>
      </c>
      <c r="O197" s="26">
        <f t="shared" ref="O197" si="480">O196-O195</f>
        <v>-3</v>
      </c>
    </row>
    <row r="198" spans="1:16" ht="19.5" thickBot="1">
      <c r="A198" s="500"/>
      <c r="B198" s="472"/>
      <c r="C198" s="113" t="s">
        <v>53</v>
      </c>
      <c r="D198" s="118">
        <f>D197/D196</f>
        <v>-8.6956521739130432E-2</v>
      </c>
      <c r="E198" s="118">
        <f t="shared" ref="E198:F198" si="481">E197/E196</f>
        <v>-8.6956521739130432E-2</v>
      </c>
      <c r="F198" s="118">
        <f t="shared" si="481"/>
        <v>-8.6956521739130432E-2</v>
      </c>
      <c r="G198" s="118">
        <f t="shared" ref="G198" si="482">G197/G196</f>
        <v>-8.6956521739130432E-2</v>
      </c>
      <c r="H198" s="118">
        <f t="shared" ref="H198:J198" si="483">H197/H196</f>
        <v>-8.6956521739130432E-2</v>
      </c>
      <c r="I198" s="118">
        <f t="shared" si="483"/>
        <v>-8.6956521739130432E-2</v>
      </c>
      <c r="J198" s="118">
        <f t="shared" si="483"/>
        <v>-0.13043478260869565</v>
      </c>
      <c r="K198" s="118">
        <f t="shared" ref="K198:L198" si="484">K197/K196</f>
        <v>-0.13043478260869565</v>
      </c>
      <c r="L198" s="118">
        <f t="shared" si="484"/>
        <v>-0.13043478260869565</v>
      </c>
      <c r="M198" s="118">
        <f t="shared" ref="M198:N198" si="485">M197/M196</f>
        <v>-0.13043478260869565</v>
      </c>
      <c r="N198" s="118">
        <f t="shared" si="485"/>
        <v>-0.13043478260869565</v>
      </c>
      <c r="O198" s="118">
        <f t="shared" ref="O198" si="486">O197/O196</f>
        <v>-0.13043478260869565</v>
      </c>
    </row>
    <row r="199" spans="1:16" s="117" customFormat="1">
      <c r="A199" s="500"/>
      <c r="B199" s="470" t="s">
        <v>56</v>
      </c>
      <c r="C199" s="258" t="s">
        <v>55</v>
      </c>
      <c r="D199" s="119">
        <f>+PIGOO!B195</f>
        <v>0</v>
      </c>
      <c r="E199" s="119" t="e">
        <f>+[3]PIGOO!C195</f>
        <v>#REF!</v>
      </c>
      <c r="F199" s="119">
        <v>0</v>
      </c>
      <c r="G199" s="119">
        <v>0</v>
      </c>
      <c r="H199" s="119">
        <v>0</v>
      </c>
      <c r="I199" s="119">
        <v>0</v>
      </c>
      <c r="J199" s="119">
        <v>0</v>
      </c>
      <c r="K199" s="119">
        <v>0</v>
      </c>
      <c r="L199" s="119">
        <v>0</v>
      </c>
      <c r="M199" s="119">
        <v>0</v>
      </c>
      <c r="N199" s="119">
        <v>0</v>
      </c>
      <c r="O199" s="119">
        <v>0</v>
      </c>
      <c r="P199" s="248">
        <v>19</v>
      </c>
    </row>
    <row r="200" spans="1:16">
      <c r="A200" s="500"/>
      <c r="B200" s="471"/>
      <c r="C200" s="260" t="s">
        <v>91</v>
      </c>
      <c r="D200" s="8"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6" ht="18.75">
      <c r="A201" s="500"/>
      <c r="B201" s="471"/>
      <c r="C201" s="111" t="s">
        <v>52</v>
      </c>
      <c r="D201" s="26">
        <f>D200-D199</f>
        <v>0</v>
      </c>
      <c r="E201" s="26" t="e">
        <f t="shared" ref="E201" si="487">E200-E199</f>
        <v>#REF!</v>
      </c>
      <c r="F201" s="26">
        <v>0</v>
      </c>
      <c r="G201" s="26">
        <v>0</v>
      </c>
      <c r="H201" s="26">
        <v>0</v>
      </c>
      <c r="I201" s="26">
        <v>0</v>
      </c>
      <c r="J201" s="26">
        <f t="shared" ref="J201:K201" si="488">J200-J199</f>
        <v>0</v>
      </c>
      <c r="K201" s="26">
        <f t="shared" si="488"/>
        <v>0</v>
      </c>
      <c r="L201" s="120">
        <f t="shared" ref="L201:M201" si="489">L200-L199</f>
        <v>0</v>
      </c>
      <c r="M201" s="120">
        <f t="shared" si="489"/>
        <v>0</v>
      </c>
      <c r="N201" s="120">
        <f t="shared" ref="N201" si="490">N200-N199</f>
        <v>0</v>
      </c>
      <c r="O201" s="120">
        <v>0</v>
      </c>
    </row>
    <row r="202" spans="1:16" ht="19.5" thickBot="1">
      <c r="A202" s="500"/>
      <c r="B202" s="471"/>
      <c r="C202" s="113" t="s">
        <v>53</v>
      </c>
      <c r="D202" s="114" t="e">
        <f>D201/D200</f>
        <v>#DIV/0!</v>
      </c>
      <c r="E202" s="114" t="e">
        <f t="shared" ref="E202:F202" si="491">E201/E200</f>
        <v>#REF!</v>
      </c>
      <c r="F202" s="114" t="e">
        <f t="shared" si="491"/>
        <v>#DIV/0!</v>
      </c>
      <c r="G202" s="114" t="e">
        <f t="shared" ref="G202" si="492">G201/G200</f>
        <v>#DIV/0!</v>
      </c>
      <c r="H202" s="114" t="e">
        <f t="shared" ref="H202:J202" si="493">H201/H200</f>
        <v>#DIV/0!</v>
      </c>
      <c r="I202" s="114" t="e">
        <f t="shared" si="493"/>
        <v>#DIV/0!</v>
      </c>
      <c r="J202" s="114" t="e">
        <f t="shared" si="493"/>
        <v>#DIV/0!</v>
      </c>
      <c r="K202" s="114" t="e">
        <f t="shared" ref="K202:L202" si="494">K201/K200</f>
        <v>#DIV/0!</v>
      </c>
      <c r="L202" s="114" t="e">
        <f t="shared" si="494"/>
        <v>#DIV/0!</v>
      </c>
      <c r="M202" s="114" t="e">
        <f t="shared" ref="M202:O202" si="495">M201/M200</f>
        <v>#DIV/0!</v>
      </c>
      <c r="N202" s="114" t="e">
        <f t="shared" si="495"/>
        <v>#DIV/0!</v>
      </c>
      <c r="O202" s="114" t="e">
        <f t="shared" si="495"/>
        <v>#DIV/0!</v>
      </c>
    </row>
    <row r="203" spans="1:16">
      <c r="A203" s="500"/>
      <c r="B203" s="470" t="s">
        <v>57</v>
      </c>
      <c r="C203" s="259" t="s">
        <v>55</v>
      </c>
      <c r="D203" s="121">
        <f>+PIGOO!B194</f>
        <v>3</v>
      </c>
      <c r="E203" s="121">
        <v>3</v>
      </c>
      <c r="F203" s="121">
        <v>3</v>
      </c>
      <c r="G203" s="121">
        <v>3</v>
      </c>
      <c r="H203" s="121">
        <v>3</v>
      </c>
      <c r="I203" s="121">
        <v>3</v>
      </c>
      <c r="J203" s="121">
        <v>3</v>
      </c>
      <c r="K203" s="121">
        <v>3</v>
      </c>
      <c r="L203" s="121">
        <v>3</v>
      </c>
      <c r="M203" s="121">
        <v>3</v>
      </c>
      <c r="N203" s="121">
        <v>3</v>
      </c>
      <c r="O203" s="121">
        <v>3</v>
      </c>
      <c r="P203" s="244">
        <v>20</v>
      </c>
    </row>
    <row r="204" spans="1:16">
      <c r="A204" s="500"/>
      <c r="B204" s="471"/>
      <c r="C204" s="260" t="s">
        <v>91</v>
      </c>
      <c r="D204" s="9">
        <v>3</v>
      </c>
      <c r="E204" s="9">
        <v>3</v>
      </c>
      <c r="F204" s="9">
        <v>3</v>
      </c>
      <c r="G204" s="9">
        <v>3</v>
      </c>
      <c r="H204" s="9">
        <v>3</v>
      </c>
      <c r="I204" s="9">
        <v>3</v>
      </c>
      <c r="J204" s="9">
        <v>3</v>
      </c>
      <c r="K204" s="9">
        <v>3</v>
      </c>
      <c r="L204" s="9">
        <v>3</v>
      </c>
      <c r="M204" s="9">
        <v>3</v>
      </c>
      <c r="N204" s="9">
        <v>3</v>
      </c>
      <c r="O204" s="9">
        <v>3</v>
      </c>
    </row>
    <row r="205" spans="1:16" ht="18.75">
      <c r="A205" s="500"/>
      <c r="B205" s="471"/>
      <c r="C205" s="122" t="s">
        <v>52</v>
      </c>
      <c r="D205" s="27">
        <f>D204-D203</f>
        <v>0</v>
      </c>
      <c r="E205" s="27">
        <f t="shared" ref="E205:F205" si="496">E204-E203</f>
        <v>0</v>
      </c>
      <c r="F205" s="27">
        <f t="shared" si="496"/>
        <v>0</v>
      </c>
      <c r="G205" s="27">
        <f t="shared" ref="G205" si="497">G204-G203</f>
        <v>0</v>
      </c>
      <c r="H205" s="27">
        <f t="shared" ref="H205:I205" si="498">H204-H203</f>
        <v>0</v>
      </c>
      <c r="I205" s="27">
        <f t="shared" si="498"/>
        <v>0</v>
      </c>
      <c r="J205" s="27">
        <f t="shared" ref="J205:K205" si="499">J204-J203</f>
        <v>0</v>
      </c>
      <c r="K205" s="27">
        <f t="shared" si="499"/>
        <v>0</v>
      </c>
      <c r="L205" s="69">
        <f t="shared" ref="L205:M205" si="500">L204-L203</f>
        <v>0</v>
      </c>
      <c r="M205" s="69">
        <f t="shared" si="500"/>
        <v>0</v>
      </c>
      <c r="N205" s="69">
        <f t="shared" ref="N205:O205" si="501">N204-N203</f>
        <v>0</v>
      </c>
      <c r="O205" s="69">
        <f t="shared" si="501"/>
        <v>0</v>
      </c>
    </row>
    <row r="206" spans="1:16" ht="19.5" thickBot="1">
      <c r="A206" s="500"/>
      <c r="B206" s="472"/>
      <c r="C206" s="123" t="s">
        <v>53</v>
      </c>
      <c r="D206" s="114">
        <f>D205/D204</f>
        <v>0</v>
      </c>
      <c r="E206" s="114">
        <f t="shared" ref="E206:F206" si="502">E205/E204</f>
        <v>0</v>
      </c>
      <c r="F206" s="114">
        <f t="shared" si="502"/>
        <v>0</v>
      </c>
      <c r="G206" s="114">
        <f t="shared" ref="G206" si="503">G205/G204</f>
        <v>0</v>
      </c>
      <c r="H206" s="114">
        <f t="shared" ref="H206:I206" si="504">H205/H204</f>
        <v>0</v>
      </c>
      <c r="I206" s="114">
        <f t="shared" si="504"/>
        <v>0</v>
      </c>
      <c r="J206" s="114">
        <f t="shared" ref="J206:K206" si="505">J205/J204</f>
        <v>0</v>
      </c>
      <c r="K206" s="114">
        <f t="shared" si="505"/>
        <v>0</v>
      </c>
      <c r="L206" s="114">
        <f t="shared" ref="L206:M206" si="506">L205/L204</f>
        <v>0</v>
      </c>
      <c r="M206" s="114">
        <f t="shared" si="506"/>
        <v>0</v>
      </c>
      <c r="N206" s="114">
        <f t="shared" ref="N206:O206" si="507">N205/N204</f>
        <v>0</v>
      </c>
      <c r="O206" s="114">
        <f t="shared" si="507"/>
        <v>0</v>
      </c>
    </row>
    <row r="207" spans="1:16" ht="15" customHeight="1">
      <c r="B207" s="487" t="s">
        <v>326</v>
      </c>
      <c r="C207" s="488"/>
      <c r="D207" s="124">
        <f>D191+D195</f>
        <v>25</v>
      </c>
      <c r="E207" s="124">
        <v>25</v>
      </c>
      <c r="F207" s="124">
        <v>25</v>
      </c>
      <c r="G207" s="124">
        <v>25</v>
      </c>
      <c r="H207" s="124">
        <v>25</v>
      </c>
      <c r="I207" s="124">
        <v>25</v>
      </c>
      <c r="J207" s="124">
        <v>26</v>
      </c>
      <c r="K207" s="124">
        <v>26</v>
      </c>
      <c r="L207" s="124">
        <v>26</v>
      </c>
      <c r="M207" s="124">
        <v>26</v>
      </c>
      <c r="N207" s="124">
        <v>26</v>
      </c>
      <c r="O207" s="124">
        <v>26</v>
      </c>
    </row>
    <row r="208" spans="1:16" ht="15" customHeight="1">
      <c r="B208" s="489" t="s">
        <v>70</v>
      </c>
      <c r="C208" s="490"/>
      <c r="D208" s="125">
        <f>D192+D196</f>
        <v>23</v>
      </c>
      <c r="E208" s="125">
        <f t="shared" ref="E208" si="508">E192+E196</f>
        <v>23</v>
      </c>
      <c r="F208" s="125">
        <v>23</v>
      </c>
      <c r="G208" s="125">
        <v>23</v>
      </c>
      <c r="H208" s="125">
        <v>23</v>
      </c>
      <c r="I208" s="125">
        <v>23</v>
      </c>
      <c r="J208" s="125">
        <v>23</v>
      </c>
      <c r="K208" s="125">
        <v>23</v>
      </c>
      <c r="L208" s="125">
        <v>23</v>
      </c>
      <c r="M208" s="125">
        <v>23</v>
      </c>
      <c r="N208" s="125">
        <v>23</v>
      </c>
      <c r="O208" s="125">
        <v>23</v>
      </c>
    </row>
    <row r="209" spans="1:16" ht="15" customHeight="1">
      <c r="B209" s="491" t="s">
        <v>327</v>
      </c>
      <c r="C209" s="492"/>
      <c r="D209" s="126">
        <f>D199+D203</f>
        <v>3</v>
      </c>
      <c r="E209" s="126">
        <v>3</v>
      </c>
      <c r="F209" s="126">
        <v>3</v>
      </c>
      <c r="G209" s="126">
        <v>3</v>
      </c>
      <c r="H209" s="126">
        <v>3</v>
      </c>
      <c r="I209" s="126">
        <v>3</v>
      </c>
      <c r="J209" s="126">
        <v>3</v>
      </c>
      <c r="K209" s="126">
        <v>3</v>
      </c>
      <c r="L209" s="126">
        <v>3</v>
      </c>
      <c r="M209" s="126">
        <v>3</v>
      </c>
      <c r="N209" s="126">
        <v>3</v>
      </c>
      <c r="O209" s="126">
        <v>3</v>
      </c>
    </row>
    <row r="210" spans="1:16" ht="15" customHeight="1">
      <c r="B210" s="489" t="s">
        <v>71</v>
      </c>
      <c r="C210" s="490"/>
      <c r="D210" s="127">
        <f>D200+D204</f>
        <v>3</v>
      </c>
      <c r="E210" s="127">
        <f t="shared" ref="E210" si="509">E200+E204</f>
        <v>3</v>
      </c>
      <c r="F210" s="127">
        <v>3</v>
      </c>
      <c r="G210" s="127">
        <v>3</v>
      </c>
      <c r="H210" s="127">
        <v>3</v>
      </c>
      <c r="I210" s="127">
        <v>3</v>
      </c>
      <c r="J210" s="127">
        <v>3</v>
      </c>
      <c r="K210" s="127">
        <v>3</v>
      </c>
      <c r="L210" s="127">
        <v>3</v>
      </c>
      <c r="M210" s="127">
        <v>3</v>
      </c>
      <c r="N210" s="127">
        <v>3</v>
      </c>
      <c r="O210" s="127">
        <v>3</v>
      </c>
    </row>
    <row r="211" spans="1:16" ht="17.25" customHeight="1">
      <c r="B211" s="493" t="s">
        <v>325</v>
      </c>
      <c r="C211" s="494"/>
      <c r="D211" s="128">
        <f>D207+D209</f>
        <v>28</v>
      </c>
      <c r="E211" s="128">
        <f t="shared" ref="E211:E212" si="510">E207+E209</f>
        <v>28</v>
      </c>
      <c r="F211" s="128">
        <v>28</v>
      </c>
      <c r="G211" s="128">
        <v>28</v>
      </c>
      <c r="H211" s="128">
        <v>28</v>
      </c>
      <c r="I211" s="128">
        <v>28</v>
      </c>
      <c r="J211" s="128">
        <v>29</v>
      </c>
      <c r="K211" s="128">
        <v>29</v>
      </c>
      <c r="L211" s="128">
        <v>29</v>
      </c>
      <c r="M211" s="128">
        <v>29</v>
      </c>
      <c r="N211" s="128">
        <v>29</v>
      </c>
      <c r="O211" s="128">
        <v>29</v>
      </c>
    </row>
    <row r="212" spans="1:16" ht="18" customHeight="1" thickBot="1">
      <c r="B212" s="495" t="s">
        <v>72</v>
      </c>
      <c r="C212" s="496"/>
      <c r="D212" s="129">
        <f>D208+D210</f>
        <v>26</v>
      </c>
      <c r="E212" s="129">
        <f t="shared" si="510"/>
        <v>26</v>
      </c>
      <c r="F212" s="129">
        <v>26</v>
      </c>
      <c r="G212" s="129">
        <v>26</v>
      </c>
      <c r="H212" s="129">
        <v>26</v>
      </c>
      <c r="I212" s="129">
        <v>26</v>
      </c>
      <c r="J212" s="129">
        <v>26</v>
      </c>
      <c r="K212" s="129">
        <v>26</v>
      </c>
      <c r="L212" s="129">
        <v>26</v>
      </c>
      <c r="M212" s="129">
        <v>26</v>
      </c>
      <c r="N212" s="129">
        <v>26</v>
      </c>
      <c r="O212" s="129">
        <v>26</v>
      </c>
    </row>
    <row r="213" spans="1:16" ht="18.75">
      <c r="B213" s="481" t="s">
        <v>58</v>
      </c>
      <c r="C213" s="130" t="s">
        <v>59</v>
      </c>
      <c r="D213" s="150">
        <f t="shared" ref="D213:E213" si="511">D211/(D171/1000)</f>
        <v>4.0597361171523847</v>
      </c>
      <c r="E213" s="150">
        <f t="shared" si="511"/>
        <v>4.05444540978859</v>
      </c>
      <c r="F213" s="150">
        <f t="shared" ref="F213:G213" si="512">F211/(F171/1000)</f>
        <v>4.0462427745664744</v>
      </c>
      <c r="G213" s="150">
        <f t="shared" si="512"/>
        <v>4.0415704387990763</v>
      </c>
      <c r="H213" s="150">
        <f t="shared" ref="H213:I213" si="513">H211/(H171/1000)</f>
        <v>3.8959231946570196</v>
      </c>
      <c r="I213" s="150">
        <f t="shared" si="513"/>
        <v>3.8888888888888888</v>
      </c>
      <c r="J213" s="150">
        <f t="shared" ref="J213:K213" si="514">J211/(J171/1000)</f>
        <v>4.0261002360127724</v>
      </c>
      <c r="K213" s="150">
        <f t="shared" si="514"/>
        <v>4.0221914008321775</v>
      </c>
      <c r="L213" s="131">
        <f t="shared" ref="L213:M213" si="515">L211/(L171/1000)</f>
        <v>4.0166204986149587</v>
      </c>
      <c r="M213" s="131">
        <f t="shared" si="515"/>
        <v>4.0088471108653581</v>
      </c>
      <c r="N213" s="131">
        <f t="shared" ref="N213:O213" si="516">N211/(N171/1000)</f>
        <v>4.009401354901148</v>
      </c>
      <c r="O213" s="131">
        <f t="shared" si="516"/>
        <v>4.006078187594972</v>
      </c>
    </row>
    <row r="214" spans="1:16" ht="19.5" thickBot="1">
      <c r="B214" s="482"/>
      <c r="C214" s="132" t="s">
        <v>60</v>
      </c>
      <c r="D214" s="151">
        <f t="shared" ref="D214:E214" si="517">D207/(D171/1000)</f>
        <v>3.6247643903146294</v>
      </c>
      <c r="E214" s="151">
        <f t="shared" si="517"/>
        <v>3.6200405444540982</v>
      </c>
      <c r="F214" s="151">
        <f t="shared" ref="F214:G214" si="518">F207/(F171/1000)</f>
        <v>3.6127167630057806</v>
      </c>
      <c r="G214" s="151">
        <f t="shared" si="518"/>
        <v>3.6085450346420322</v>
      </c>
      <c r="H214" s="151">
        <f t="shared" ref="H214:I214" si="519">H207/(H171/1000)</f>
        <v>3.4785028523723387</v>
      </c>
      <c r="I214" s="151">
        <f t="shared" si="519"/>
        <v>3.4722222222222223</v>
      </c>
      <c r="J214" s="151">
        <f t="shared" ref="J214:K214" si="520">J207/(J171/1000)</f>
        <v>3.6096071081493819</v>
      </c>
      <c r="K214" s="151">
        <f t="shared" si="520"/>
        <v>3.606102635228849</v>
      </c>
      <c r="L214" s="133">
        <f t="shared" ref="L214:M214" si="521">L207/(L171/1000)</f>
        <v>3.6011080332409975</v>
      </c>
      <c r="M214" s="133">
        <f t="shared" si="521"/>
        <v>3.5941387890517005</v>
      </c>
      <c r="N214" s="133">
        <f t="shared" ref="N214:O214" si="522">N207/(N171/1000)</f>
        <v>3.5946356974975808</v>
      </c>
      <c r="O214" s="133">
        <f t="shared" si="522"/>
        <v>3.59165630611963</v>
      </c>
    </row>
    <row r="215" spans="1:16">
      <c r="B215" s="483" t="s">
        <v>65</v>
      </c>
      <c r="C215" s="261" t="s">
        <v>69</v>
      </c>
      <c r="D215" s="12">
        <f>+PIGOO!B35</f>
        <v>608982</v>
      </c>
      <c r="E215" s="12">
        <f>+PIGOO!C35</f>
        <v>400965.4</v>
      </c>
      <c r="F215" s="12">
        <f>+PIGOO!D35</f>
        <v>482435.5</v>
      </c>
      <c r="G215" s="12">
        <f>+PIGOO!E35</f>
        <v>430773.82</v>
      </c>
      <c r="H215" s="12">
        <f>+PIGOO!F35</f>
        <v>119107.92</v>
      </c>
      <c r="I215" s="12">
        <f>+PIGOO!G35</f>
        <v>28770</v>
      </c>
      <c r="J215" s="12">
        <f>+PIGOO!H35</f>
        <v>354501.12</v>
      </c>
      <c r="K215" s="12">
        <f>+PIGOO!I35</f>
        <v>5395.49</v>
      </c>
      <c r="L215" s="12">
        <f>+PIGOO!J35</f>
        <v>51724</v>
      </c>
      <c r="M215" s="12">
        <f>+PIGOO!K35</f>
        <v>97724.69</v>
      </c>
      <c r="N215" s="12">
        <f>+PIGOO!L35</f>
        <v>24618.12</v>
      </c>
      <c r="O215" s="12">
        <f>+PIGOO!M35</f>
        <v>0</v>
      </c>
      <c r="P215" s="244">
        <v>21</v>
      </c>
    </row>
    <row r="216" spans="1:16" ht="15.75" thickBot="1">
      <c r="B216" s="483"/>
      <c r="C216" s="134" t="s">
        <v>61</v>
      </c>
      <c r="D216" s="9">
        <f>D215</f>
        <v>608982</v>
      </c>
      <c r="E216" s="9">
        <f t="shared" ref="E216:O216" si="523">D216+E215</f>
        <v>1009947.4</v>
      </c>
      <c r="F216" s="9">
        <f t="shared" si="523"/>
        <v>1492382.9</v>
      </c>
      <c r="G216" s="9">
        <f t="shared" si="523"/>
        <v>1923156.72</v>
      </c>
      <c r="H216" s="9">
        <f t="shared" si="523"/>
        <v>2042264.64</v>
      </c>
      <c r="I216" s="9">
        <f t="shared" si="523"/>
        <v>2071034.64</v>
      </c>
      <c r="J216" s="9">
        <f t="shared" si="523"/>
        <v>2425535.7599999998</v>
      </c>
      <c r="K216" s="9">
        <f t="shared" si="523"/>
        <v>2430931.25</v>
      </c>
      <c r="L216" s="9">
        <f t="shared" si="523"/>
        <v>2482655.25</v>
      </c>
      <c r="M216" s="9">
        <f t="shared" si="523"/>
        <v>2580379.94</v>
      </c>
      <c r="N216" s="9">
        <f t="shared" si="523"/>
        <v>2604998.06</v>
      </c>
      <c r="O216" s="9">
        <f t="shared" si="523"/>
        <v>2604998.06</v>
      </c>
    </row>
    <row r="217" spans="1:16">
      <c r="A217" s="484" t="s">
        <v>62</v>
      </c>
      <c r="B217" s="478" t="s">
        <v>66</v>
      </c>
      <c r="C217" s="171" t="s">
        <v>63</v>
      </c>
      <c r="D217" s="18">
        <v>15000</v>
      </c>
      <c r="E217" s="19">
        <v>15000.83</v>
      </c>
      <c r="F217" s="19">
        <v>82982.13</v>
      </c>
      <c r="G217" s="19">
        <v>144524.17000000001</v>
      </c>
      <c r="H217" s="19">
        <v>184955</v>
      </c>
      <c r="I217" s="19">
        <v>218946.35</v>
      </c>
      <c r="J217" s="19">
        <v>218946.35</v>
      </c>
      <c r="K217" s="19">
        <v>261168.18</v>
      </c>
      <c r="L217" s="19">
        <v>305920</v>
      </c>
      <c r="M217" s="19">
        <v>305920</v>
      </c>
      <c r="N217" s="90">
        <v>15000</v>
      </c>
      <c r="O217" s="90">
        <v>15000</v>
      </c>
    </row>
    <row r="218" spans="1:16">
      <c r="A218" s="485"/>
      <c r="B218" s="479"/>
      <c r="C218" s="172" t="s">
        <v>64</v>
      </c>
      <c r="D218" s="35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/>
      <c r="L218" s="36">
        <v>0</v>
      </c>
      <c r="M218" s="36">
        <v>0</v>
      </c>
      <c r="N218" s="36">
        <v>0</v>
      </c>
      <c r="O218" s="36">
        <v>0</v>
      </c>
    </row>
    <row r="219" spans="1:16" ht="15.75" thickBot="1">
      <c r="A219" s="486"/>
      <c r="B219" s="480"/>
      <c r="C219" s="173" t="s">
        <v>67</v>
      </c>
      <c r="D219" s="135">
        <v>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/>
      <c r="L219" s="136">
        <v>0</v>
      </c>
      <c r="M219" s="136">
        <v>0</v>
      </c>
      <c r="N219" s="136">
        <v>0</v>
      </c>
      <c r="O219" s="136">
        <v>0</v>
      </c>
    </row>
    <row r="220" spans="1:16">
      <c r="B220" s="137"/>
      <c r="C220" s="1"/>
    </row>
    <row r="221" spans="1:16">
      <c r="B221" s="137"/>
      <c r="C221" s="1"/>
      <c r="N221" s="456"/>
    </row>
    <row r="222" spans="1:16">
      <c r="B222" s="1"/>
    </row>
    <row r="223" spans="1:16">
      <c r="B223" s="1"/>
      <c r="C223" s="2" t="s">
        <v>334</v>
      </c>
    </row>
    <row r="224" spans="1:16">
      <c r="B224" s="1"/>
      <c r="C224" s="2" t="s">
        <v>335</v>
      </c>
    </row>
    <row r="225" spans="2:3">
      <c r="B225" s="1"/>
    </row>
    <row r="226" spans="2:3">
      <c r="B226" s="1"/>
    </row>
    <row r="227" spans="2:3">
      <c r="B227" s="1"/>
      <c r="C227" s="2" t="s">
        <v>336</v>
      </c>
    </row>
    <row r="228" spans="2:3">
      <c r="B228" s="1"/>
    </row>
  </sheetData>
  <mergeCells count="79">
    <mergeCell ref="A46:A47"/>
    <mergeCell ref="B46:B51"/>
    <mergeCell ref="A34:A35"/>
    <mergeCell ref="B162:B184"/>
    <mergeCell ref="A1:O4"/>
    <mergeCell ref="B6:C6"/>
    <mergeCell ref="A7:A8"/>
    <mergeCell ref="B7:B12"/>
    <mergeCell ref="A13:A14"/>
    <mergeCell ref="B13:B18"/>
    <mergeCell ref="A121:A122"/>
    <mergeCell ref="B121:B126"/>
    <mergeCell ref="A67:A68"/>
    <mergeCell ref="B67:B72"/>
    <mergeCell ref="A79:A80"/>
    <mergeCell ref="B79:B84"/>
    <mergeCell ref="B85:B87"/>
    <mergeCell ref="B88:B90"/>
    <mergeCell ref="B91:B93"/>
    <mergeCell ref="A109:A110"/>
    <mergeCell ref="B109:B114"/>
    <mergeCell ref="A115:A116"/>
    <mergeCell ref="B115:B120"/>
    <mergeCell ref="B97:B98"/>
    <mergeCell ref="B99:B108"/>
    <mergeCell ref="A162:A190"/>
    <mergeCell ref="A127:A128"/>
    <mergeCell ref="B127:B132"/>
    <mergeCell ref="A133:A134"/>
    <mergeCell ref="B133:B138"/>
    <mergeCell ref="A139:A140"/>
    <mergeCell ref="B139:B144"/>
    <mergeCell ref="A145:A146"/>
    <mergeCell ref="B145:B150"/>
    <mergeCell ref="B151:B153"/>
    <mergeCell ref="A154:A155"/>
    <mergeCell ref="B154:B161"/>
    <mergeCell ref="A159:A161"/>
    <mergeCell ref="A191:A206"/>
    <mergeCell ref="B191:B194"/>
    <mergeCell ref="B195:B198"/>
    <mergeCell ref="B199:B202"/>
    <mergeCell ref="B203:B206"/>
    <mergeCell ref="B213:B214"/>
    <mergeCell ref="B215:B216"/>
    <mergeCell ref="A217:A219"/>
    <mergeCell ref="B217:B219"/>
    <mergeCell ref="B207:C207"/>
    <mergeCell ref="B208:C208"/>
    <mergeCell ref="B209:C209"/>
    <mergeCell ref="B210:C210"/>
    <mergeCell ref="B211:C211"/>
    <mergeCell ref="B212:C212"/>
    <mergeCell ref="N97:N98"/>
    <mergeCell ref="O97:O98"/>
    <mergeCell ref="A19:A20"/>
    <mergeCell ref="B19:B24"/>
    <mergeCell ref="B95:B96"/>
    <mergeCell ref="B40:B45"/>
    <mergeCell ref="B73:B78"/>
    <mergeCell ref="B52:B54"/>
    <mergeCell ref="B34:B39"/>
    <mergeCell ref="A61:A62"/>
    <mergeCell ref="B61:B66"/>
    <mergeCell ref="A25:A26"/>
    <mergeCell ref="B25:B30"/>
    <mergeCell ref="B31:B33"/>
    <mergeCell ref="A55:A56"/>
    <mergeCell ref="B55:B60"/>
    <mergeCell ref="I97:I98"/>
    <mergeCell ref="J97:J98"/>
    <mergeCell ref="K97:K98"/>
    <mergeCell ref="L97:L98"/>
    <mergeCell ref="M97:M98"/>
    <mergeCell ref="D97:D98"/>
    <mergeCell ref="E97:E98"/>
    <mergeCell ref="F97:F98"/>
    <mergeCell ref="G97:G98"/>
    <mergeCell ref="H97:H98"/>
  </mergeCells>
  <phoneticPr fontId="25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3"/>
  <sheetViews>
    <sheetView showGridLines="0" workbookViewId="0">
      <selection activeCell="B21" sqref="B21"/>
    </sheetView>
  </sheetViews>
  <sheetFormatPr baseColWidth="10" defaultRowHeight="15"/>
  <cols>
    <col min="2" max="13" width="12.7109375" customWidth="1"/>
  </cols>
  <sheetData>
    <row r="1" spans="1:14" s="269" customFormat="1"/>
    <row r="2" spans="1:14" s="269" customFormat="1" ht="18.75">
      <c r="A2" s="272" t="s">
        <v>271</v>
      </c>
      <c r="B2" s="272"/>
      <c r="C2" s="272"/>
      <c r="D2" s="272"/>
      <c r="E2" s="272"/>
    </row>
    <row r="3" spans="1:14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</row>
    <row r="4" spans="1:14">
      <c r="A4" t="s">
        <v>19</v>
      </c>
      <c r="B4" s="262" t="e">
        <f>+INDICADORES!D31</f>
        <v>#VALUE!</v>
      </c>
      <c r="C4" s="262" t="e">
        <f>+INDICADORES!E31</f>
        <v>#VALUE!</v>
      </c>
      <c r="D4" s="262" t="e">
        <f>+INDICADORES!F31</f>
        <v>#VALUE!</v>
      </c>
      <c r="E4" s="262" t="e">
        <f>+INDICADORES!G31</f>
        <v>#VALUE!</v>
      </c>
      <c r="F4" s="262" t="e">
        <f>+INDICADORES!H31</f>
        <v>#VALUE!</v>
      </c>
      <c r="G4" s="262" t="e">
        <f>+INDICADORES!I31</f>
        <v>#VALUE!</v>
      </c>
      <c r="H4" s="262" t="e">
        <f>+INDICADORES!J31</f>
        <v>#VALUE!</v>
      </c>
      <c r="I4" s="262" t="e">
        <f>+INDICADORES!K31</f>
        <v>#VALUE!</v>
      </c>
      <c r="J4" s="262" t="e">
        <f>+INDICADORES!L31</f>
        <v>#VALUE!</v>
      </c>
      <c r="K4" s="262" t="e">
        <f>+INDICADORES!M31</f>
        <v>#VALUE!</v>
      </c>
      <c r="L4" s="262" t="e">
        <f>+INDICADORES!N31</f>
        <v>#VALUE!</v>
      </c>
      <c r="M4" s="262" t="e">
        <f>+INDICADORES!O31</f>
        <v>#VALUE!</v>
      </c>
      <c r="N4" s="263"/>
    </row>
    <row r="5" spans="1:14">
      <c r="A5" t="s">
        <v>272</v>
      </c>
      <c r="B5" s="263">
        <v>0.74</v>
      </c>
      <c r="C5" s="263">
        <v>0.74</v>
      </c>
      <c r="D5" s="263">
        <v>0.74</v>
      </c>
      <c r="E5" s="263">
        <v>0.74</v>
      </c>
      <c r="F5" s="263">
        <v>0.74</v>
      </c>
      <c r="G5" s="263">
        <v>0.74</v>
      </c>
      <c r="H5" s="263">
        <v>0.74</v>
      </c>
      <c r="I5" s="263">
        <v>0.74</v>
      </c>
      <c r="J5" s="263">
        <v>0.74</v>
      </c>
      <c r="K5" s="263">
        <v>0.74</v>
      </c>
      <c r="L5" s="263">
        <v>0.74</v>
      </c>
      <c r="M5" s="263">
        <v>0.74</v>
      </c>
    </row>
    <row r="23" spans="1:13" ht="18.75">
      <c r="A23" s="272" t="s">
        <v>276</v>
      </c>
      <c r="B23" s="272"/>
      <c r="C23" s="272"/>
      <c r="D23" s="272"/>
      <c r="E23" s="272"/>
    </row>
    <row r="24" spans="1:13">
      <c r="B24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t="s">
        <v>9</v>
      </c>
      <c r="J24" t="s">
        <v>10</v>
      </c>
      <c r="K24" t="s">
        <v>11</v>
      </c>
      <c r="L24" t="s">
        <v>12</v>
      </c>
      <c r="M24" t="s">
        <v>13</v>
      </c>
    </row>
    <row r="25" spans="1:13">
      <c r="A25" t="s">
        <v>23</v>
      </c>
      <c r="B25" s="262">
        <f>+INDICADORES!D52</f>
        <v>0.61432426910959859</v>
      </c>
      <c r="C25" s="262">
        <f>+INDICADORES!E52</f>
        <v>0.6867660401814647</v>
      </c>
      <c r="D25" s="262">
        <f>+INDICADORES!F52</f>
        <v>0.7003442764047707</v>
      </c>
      <c r="E25" s="262">
        <f>+INDICADORES!G52</f>
        <v>0.60419830185854528</v>
      </c>
      <c r="F25" s="262">
        <f>+INDICADORES!H52</f>
        <v>0.67010276746363173</v>
      </c>
      <c r="G25" s="262">
        <f>+INDICADORES!I52</f>
        <v>0.49238241562174756</v>
      </c>
      <c r="H25" s="262">
        <f>+INDICADORES!J52</f>
        <v>0.62675365163674157</v>
      </c>
      <c r="I25" s="262">
        <f>+INDICADORES!K52</f>
        <v>0.57212490326730381</v>
      </c>
      <c r="J25" s="262">
        <f>+INDICADORES!L52</f>
        <v>0.52110065105475334</v>
      </c>
      <c r="K25" s="262">
        <f>+INDICADORES!M52</f>
        <v>0.62545331652216862</v>
      </c>
      <c r="L25" s="262">
        <f>+INDICADORES!N52</f>
        <v>0.40105814273904655</v>
      </c>
      <c r="M25" s="262">
        <f>+INDICADORES!O52</f>
        <v>0.85777247165937698</v>
      </c>
    </row>
    <row r="26" spans="1:13">
      <c r="A26" t="s">
        <v>273</v>
      </c>
      <c r="B26" s="263">
        <v>0.98</v>
      </c>
      <c r="C26" s="263">
        <v>0.98</v>
      </c>
      <c r="D26" s="263">
        <v>0.98</v>
      </c>
      <c r="E26" s="263">
        <v>0.98</v>
      </c>
      <c r="F26" s="263">
        <v>0.98</v>
      </c>
      <c r="G26" s="263">
        <v>0.98</v>
      </c>
      <c r="H26" s="263">
        <v>0.98</v>
      </c>
      <c r="I26" s="263">
        <v>0.98</v>
      </c>
      <c r="J26" s="263">
        <v>0.98</v>
      </c>
      <c r="K26" s="263">
        <v>0.98</v>
      </c>
      <c r="L26" s="263">
        <v>0.98</v>
      </c>
      <c r="M26" s="263">
        <v>0.98</v>
      </c>
    </row>
    <row r="45" spans="1:13" ht="18.75">
      <c r="A45" s="272" t="s">
        <v>275</v>
      </c>
      <c r="B45" s="272"/>
      <c r="C45" s="272"/>
      <c r="D45" s="272"/>
      <c r="E45" s="272"/>
    </row>
    <row r="46" spans="1:13"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  <c r="H46" t="s">
        <v>8</v>
      </c>
      <c r="I46" t="s">
        <v>9</v>
      </c>
      <c r="J46" t="s">
        <v>10</v>
      </c>
      <c r="K46" t="s">
        <v>11</v>
      </c>
      <c r="L46" t="s">
        <v>12</v>
      </c>
      <c r="M46" t="s">
        <v>13</v>
      </c>
    </row>
    <row r="47" spans="1:13">
      <c r="A47" t="s">
        <v>274</v>
      </c>
      <c r="B47" s="262">
        <f>+INDICADORES!D91</f>
        <v>0.39340527035839901</v>
      </c>
      <c r="C47" s="262">
        <f>+INDICADORES!E91</f>
        <v>0.40376307205421985</v>
      </c>
      <c r="D47" s="262">
        <f>+INDICADORES!F91</f>
        <v>0.35712803565261869</v>
      </c>
      <c r="E47" s="262">
        <f>+INDICADORES!G91</f>
        <v>0.30096026129301628</v>
      </c>
      <c r="F47" s="262">
        <f>+INDICADORES!H91</f>
        <v>0.33956143069749473</v>
      </c>
      <c r="G47" s="262">
        <f>+INDICADORES!I91</f>
        <v>0.34051915633687124</v>
      </c>
      <c r="H47" s="262">
        <f>+INDICADORES!J91</f>
        <v>0.37077459844565025</v>
      </c>
      <c r="I47" s="262">
        <f>+INDICADORES!K91</f>
        <v>0.30157100653492314</v>
      </c>
      <c r="J47" s="262">
        <f>+INDICADORES!L91</f>
        <v>0.24674543067388532</v>
      </c>
      <c r="K47" s="262">
        <f>+INDICADORES!M91</f>
        <v>6.2457254810146481E-2</v>
      </c>
      <c r="L47" s="262">
        <f>+INDICADORES!N91</f>
        <v>0.2442455289110172</v>
      </c>
      <c r="M47" s="262">
        <f>+INDICADORES!O91</f>
        <v>0.37435294788448059</v>
      </c>
    </row>
    <row r="48" spans="1:13">
      <c r="A48" t="s">
        <v>273</v>
      </c>
      <c r="B48" s="263">
        <v>0.97</v>
      </c>
      <c r="C48" s="263">
        <v>0.97</v>
      </c>
      <c r="D48" s="263">
        <v>0.97</v>
      </c>
      <c r="E48" s="263">
        <v>0.97</v>
      </c>
      <c r="F48" s="263">
        <v>0.97</v>
      </c>
      <c r="G48" s="263">
        <v>0.97</v>
      </c>
      <c r="H48" s="263">
        <v>0.97</v>
      </c>
      <c r="I48" s="263">
        <v>0.97</v>
      </c>
      <c r="J48" s="263">
        <v>0.97</v>
      </c>
      <c r="K48" s="263">
        <v>0.97</v>
      </c>
      <c r="L48" s="263">
        <v>0.97</v>
      </c>
      <c r="M48" s="263">
        <v>0.97</v>
      </c>
    </row>
    <row r="67" spans="1:16" ht="18.75">
      <c r="A67" s="272" t="s">
        <v>277</v>
      </c>
      <c r="B67" s="272"/>
      <c r="C67" s="272"/>
      <c r="D67" s="272"/>
      <c r="E67" s="272"/>
    </row>
    <row r="68" spans="1:16">
      <c r="B68" t="s">
        <v>2</v>
      </c>
      <c r="C68" t="s">
        <v>3</v>
      </c>
      <c r="D68" t="s">
        <v>4</v>
      </c>
      <c r="E68" t="s">
        <v>5</v>
      </c>
      <c r="F68" t="s">
        <v>6</v>
      </c>
      <c r="G68" t="s">
        <v>7</v>
      </c>
      <c r="H68" t="s">
        <v>8</v>
      </c>
      <c r="I68" t="s">
        <v>9</v>
      </c>
      <c r="J68" t="s">
        <v>10</v>
      </c>
      <c r="K68" t="s">
        <v>11</v>
      </c>
      <c r="L68" t="s">
        <v>12</v>
      </c>
      <c r="M68" t="s">
        <v>13</v>
      </c>
    </row>
    <row r="69" spans="1:16">
      <c r="A69" t="s">
        <v>278</v>
      </c>
      <c r="B69" s="264">
        <f>+INDICADORES!D95</f>
        <v>5.4012612174560033</v>
      </c>
      <c r="C69" s="264">
        <f>+INDICADORES!E95</f>
        <v>4.8949040006537361</v>
      </c>
      <c r="D69" s="264">
        <f>+INDICADORES!F95</f>
        <v>5.5664727808094314</v>
      </c>
      <c r="E69" s="264">
        <f>+INDICADORES!G95</f>
        <v>5.3849657985257542</v>
      </c>
      <c r="F69" s="264">
        <f>+INDICADORES!H95</f>
        <v>5.501925991540265</v>
      </c>
      <c r="G69" s="264">
        <f>+INDICADORES!I95</f>
        <v>5.935235994912782</v>
      </c>
      <c r="H69" s="264">
        <f>+INDICADORES!J95</f>
        <v>5.9986893686260228</v>
      </c>
      <c r="I69" s="264">
        <f>+INDICADORES!K95</f>
        <v>5.7928450723556111</v>
      </c>
      <c r="J69" s="264">
        <f>+INDICADORES!L95</f>
        <v>5.5801228395237308</v>
      </c>
      <c r="K69" s="264">
        <f>+INDICADORES!M95</f>
        <v>5.2144635147404275</v>
      </c>
      <c r="L69" s="264">
        <f>+INDICADORES!N95</f>
        <v>4.2278852400694733</v>
      </c>
      <c r="M69" s="264">
        <f>+INDICADORES!O95</f>
        <v>4.579189076747558</v>
      </c>
    </row>
    <row r="70" spans="1:16">
      <c r="A70" t="s">
        <v>279</v>
      </c>
      <c r="B70" s="264" t="e">
        <f>+INDICADORES!D97</f>
        <v>#VALUE!</v>
      </c>
      <c r="C70" s="264" t="e">
        <f>+INDICADORES!E97</f>
        <v>#VALUE!</v>
      </c>
      <c r="D70" s="264" t="e">
        <f>+INDICADORES!F97</f>
        <v>#VALUE!</v>
      </c>
      <c r="E70" s="264" t="e">
        <f>+INDICADORES!G97</f>
        <v>#VALUE!</v>
      </c>
      <c r="F70" s="264" t="e">
        <f>+INDICADORES!H97</f>
        <v>#VALUE!</v>
      </c>
      <c r="G70" s="264" t="e">
        <f>+INDICADORES!I97</f>
        <v>#VALUE!</v>
      </c>
      <c r="H70" s="264" t="e">
        <f>+INDICADORES!J97</f>
        <v>#VALUE!</v>
      </c>
      <c r="I70" s="264" t="e">
        <f>+INDICADORES!K97</f>
        <v>#VALUE!</v>
      </c>
      <c r="J70" s="264" t="e">
        <f>+INDICADORES!L97</f>
        <v>#VALUE!</v>
      </c>
      <c r="K70" s="264" t="e">
        <f>+INDICADORES!M97</f>
        <v>#VALUE!</v>
      </c>
      <c r="L70" s="264" t="e">
        <f>+INDICADORES!N97</f>
        <v>#VALUE!</v>
      </c>
      <c r="M70" s="264" t="e">
        <f>+INDICADORES!O97</f>
        <v>#VALUE!</v>
      </c>
    </row>
    <row r="75" spans="1:16">
      <c r="O75" s="269"/>
      <c r="P75" s="269"/>
    </row>
    <row r="76" spans="1:16">
      <c r="O76" s="269"/>
      <c r="P76" s="269"/>
    </row>
    <row r="77" spans="1:16">
      <c r="O77" s="269"/>
      <c r="P77" s="269"/>
    </row>
    <row r="78" spans="1:16">
      <c r="O78" s="269"/>
      <c r="P78" s="269"/>
    </row>
    <row r="79" spans="1:16">
      <c r="O79" s="269"/>
      <c r="P79" s="269"/>
    </row>
    <row r="80" spans="1:16">
      <c r="O80" s="269"/>
      <c r="P80" s="269"/>
    </row>
    <row r="81" spans="1:16">
      <c r="O81" s="269"/>
      <c r="P81" s="269"/>
    </row>
    <row r="82" spans="1:16">
      <c r="O82" s="269"/>
      <c r="P82" s="269"/>
    </row>
    <row r="83" spans="1:16">
      <c r="O83" s="269"/>
      <c r="P83" s="269"/>
    </row>
    <row r="84" spans="1:16">
      <c r="O84" s="269"/>
      <c r="P84" s="269"/>
    </row>
    <row r="85" spans="1:16">
      <c r="O85" s="269"/>
      <c r="P85" s="269"/>
    </row>
    <row r="86" spans="1:16">
      <c r="O86" s="269"/>
      <c r="P86" s="269"/>
    </row>
    <row r="87" spans="1:16">
      <c r="O87" s="269"/>
      <c r="P87" s="269"/>
    </row>
    <row r="88" spans="1:16">
      <c r="O88" s="269"/>
      <c r="P88" s="269"/>
    </row>
    <row r="89" spans="1:16">
      <c r="O89" s="269"/>
      <c r="P89" s="269"/>
    </row>
    <row r="90" spans="1:16">
      <c r="O90" s="269"/>
      <c r="P90" s="269"/>
    </row>
    <row r="92" spans="1:16" ht="18.75">
      <c r="A92" s="272" t="s">
        <v>280</v>
      </c>
      <c r="B92" s="272"/>
      <c r="C92" s="272"/>
      <c r="D92" s="272"/>
      <c r="E92" s="272"/>
      <c r="L92" t="s">
        <v>292</v>
      </c>
    </row>
    <row r="93" spans="1:16">
      <c r="B93" t="s">
        <v>2</v>
      </c>
      <c r="C93" t="s">
        <v>3</v>
      </c>
      <c r="D93" t="s">
        <v>4</v>
      </c>
      <c r="E93" t="s">
        <v>5</v>
      </c>
      <c r="F93" t="s">
        <v>6</v>
      </c>
      <c r="G93" t="s">
        <v>7</v>
      </c>
      <c r="H93" t="s">
        <v>8</v>
      </c>
      <c r="I93" t="s">
        <v>9</v>
      </c>
      <c r="J93" t="s">
        <v>10</v>
      </c>
      <c r="K93" t="s">
        <v>11</v>
      </c>
      <c r="L93" t="s">
        <v>12</v>
      </c>
      <c r="M93" t="s">
        <v>13</v>
      </c>
    </row>
    <row r="94" spans="1:16">
      <c r="A94">
        <v>2016</v>
      </c>
      <c r="B94" s="264">
        <f>(+INDICADORES!D108)/1000</f>
        <v>0</v>
      </c>
      <c r="C94" s="264">
        <f>(+INDICADORES!E108)/1000</f>
        <v>0</v>
      </c>
      <c r="D94" s="264">
        <f>(+INDICADORES!F108)/1000</f>
        <v>0</v>
      </c>
      <c r="E94" s="264">
        <f>(+INDICADORES!G108)/1000</f>
        <v>0</v>
      </c>
      <c r="F94" s="264">
        <f>(+INDICADORES!H108)/1000</f>
        <v>0</v>
      </c>
      <c r="G94" s="264">
        <f>(+INDICADORES!I108)/1000</f>
        <v>0</v>
      </c>
      <c r="H94" s="264">
        <f>(+INDICADORES!J108)/1000</f>
        <v>0</v>
      </c>
      <c r="I94" s="264">
        <f>(+INDICADORES!K108)/1000</f>
        <v>0</v>
      </c>
      <c r="J94" s="264">
        <f>(+INDICADORES!L108)/1000</f>
        <v>0</v>
      </c>
      <c r="K94" s="264">
        <f>(+INDICADORES!M108)/1000</f>
        <v>0</v>
      </c>
      <c r="L94" s="264">
        <f>(+INDICADORES!N108)/1000</f>
        <v>0</v>
      </c>
      <c r="M94" s="264">
        <f>(+INDICADORES!O108)/1000</f>
        <v>0</v>
      </c>
    </row>
    <row r="95" spans="1:16">
      <c r="A95">
        <v>2017</v>
      </c>
      <c r="B95" s="264">
        <f>(+INDICADORES!D107)/1000</f>
        <v>0</v>
      </c>
      <c r="C95" s="264">
        <f>(+INDICADORES!E107)/1000</f>
        <v>0</v>
      </c>
      <c r="D95" s="264">
        <f>(+INDICADORES!F107)/1000</f>
        <v>0</v>
      </c>
      <c r="E95" s="264">
        <f>(+INDICADORES!G107)/1000</f>
        <v>0</v>
      </c>
      <c r="F95" s="264">
        <f>(+INDICADORES!H107)/1000</f>
        <v>0</v>
      </c>
      <c r="G95" s="264">
        <f>(+INDICADORES!I107)/1000</f>
        <v>0</v>
      </c>
      <c r="H95" s="264">
        <f>(+INDICADORES!J107)/1000</f>
        <v>0</v>
      </c>
      <c r="I95" s="264">
        <f>(+INDICADORES!K107)/1000</f>
        <v>0</v>
      </c>
      <c r="J95" s="264">
        <f>(+INDICADORES!L107)/1000</f>
        <v>0</v>
      </c>
      <c r="K95" s="264">
        <f>(+INDICADORES!M107)/1000</f>
        <v>0</v>
      </c>
      <c r="L95" s="264">
        <f>(+INDICADORES!N107)/1000</f>
        <v>0</v>
      </c>
      <c r="M95" s="264">
        <f>(+INDICADORES!O107)/1000</f>
        <v>0</v>
      </c>
    </row>
    <row r="96" spans="1:16">
      <c r="A96">
        <v>2018</v>
      </c>
      <c r="B96" s="264">
        <f>(+INDICADORES!D106)/1000</f>
        <v>0</v>
      </c>
      <c r="C96" s="264">
        <f>(+INDICADORES!E106)/1000</f>
        <v>0</v>
      </c>
      <c r="D96" s="264">
        <f>(+INDICADORES!F106)/1000</f>
        <v>0</v>
      </c>
      <c r="E96" s="264">
        <f>(+INDICADORES!G106)/1000</f>
        <v>0</v>
      </c>
      <c r="F96" s="264">
        <f>(+INDICADORES!H106)/1000</f>
        <v>0</v>
      </c>
      <c r="G96" s="264">
        <f>(+INDICADORES!I106)/1000</f>
        <v>0</v>
      </c>
      <c r="H96" s="264">
        <f>(+INDICADORES!J106)/1000</f>
        <v>0</v>
      </c>
      <c r="I96" s="264">
        <f>(+INDICADORES!K106)/1000</f>
        <v>0</v>
      </c>
      <c r="J96" s="264">
        <f>(+INDICADORES!L106)/1000</f>
        <v>0</v>
      </c>
      <c r="K96" s="264">
        <f>(+INDICADORES!M106)/1000</f>
        <v>0</v>
      </c>
      <c r="L96" s="264">
        <f>(+INDICADORES!N106)/1000</f>
        <v>0</v>
      </c>
      <c r="M96" s="264">
        <f>(+INDICADORES!O106)/1000</f>
        <v>0</v>
      </c>
    </row>
    <row r="97" spans="1:17">
      <c r="A97">
        <v>2019</v>
      </c>
      <c r="B97" s="264">
        <f>(+INDICADORES!D105)/1000</f>
        <v>0</v>
      </c>
      <c r="C97" s="264">
        <f>(+INDICADORES!E105)/1000</f>
        <v>3.4289999999999998</v>
      </c>
      <c r="D97" s="264">
        <f>(+INDICADORES!F105)/1000</f>
        <v>3.351</v>
      </c>
      <c r="E97" s="264">
        <f>(+INDICADORES!G105)/1000</f>
        <v>0</v>
      </c>
      <c r="F97" s="264">
        <f>(+INDICADORES!H105)/1000</f>
        <v>0</v>
      </c>
      <c r="G97" s="264">
        <f>(+INDICADORES!I105)/1000</f>
        <v>0</v>
      </c>
      <c r="H97" s="264">
        <f>(+INDICADORES!J105)/1000</f>
        <v>3.379</v>
      </c>
      <c r="I97" s="264">
        <f>(+INDICADORES!K105)/1000</f>
        <v>3.0779999999999998</v>
      </c>
      <c r="J97" s="264">
        <f>(+INDICADORES!L105)/1000</f>
        <v>0</v>
      </c>
      <c r="K97" s="264">
        <f>(+INDICADORES!M105)/1000</f>
        <v>0</v>
      </c>
      <c r="L97" s="264">
        <f>(+INDICADORES!N105)/1000</f>
        <v>0</v>
      </c>
      <c r="M97" s="264">
        <f>(+INDICADORES!O105)/1000</f>
        <v>0</v>
      </c>
    </row>
    <row r="98" spans="1:17">
      <c r="A98">
        <v>2020</v>
      </c>
      <c r="B98" s="264">
        <f>(+INDICADORES!D104)/1000</f>
        <v>0</v>
      </c>
      <c r="C98" s="264">
        <f>(+INDICADORES!E104)/1000</f>
        <v>0</v>
      </c>
      <c r="D98" s="264">
        <f>(+INDICADORES!F104)/1000</f>
        <v>3.6989999999999998</v>
      </c>
      <c r="E98" s="264">
        <f>(+INDICADORES!G104)/1000</f>
        <v>0</v>
      </c>
      <c r="F98" s="264">
        <f>(+INDICADORES!H104)/1000</f>
        <v>0</v>
      </c>
      <c r="G98" s="264">
        <f>(+INDICADORES!I104)/1000</f>
        <v>4.2910000000000004</v>
      </c>
      <c r="H98" s="264">
        <f>(+INDICADORES!J104)/1000</f>
        <v>4.7539999999999996</v>
      </c>
      <c r="I98" s="264">
        <f>(+INDICADORES!K104)/1000</f>
        <v>5.327</v>
      </c>
      <c r="J98" s="264">
        <f>(+INDICADORES!L104)/1000</f>
        <v>3.5350000000000001</v>
      </c>
      <c r="K98" s="264">
        <f>(+INDICADORES!M104)/1000</f>
        <v>3.1520000000000001</v>
      </c>
      <c r="L98" s="264">
        <f>(+INDICADORES!N104)/1000</f>
        <v>4.1310000000000002</v>
      </c>
      <c r="M98" s="264">
        <f>(+INDICADORES!O104)/1000</f>
        <v>3.5070000000000001</v>
      </c>
    </row>
    <row r="99" spans="1:17">
      <c r="J99" t="s">
        <v>292</v>
      </c>
    </row>
    <row r="101" spans="1:17">
      <c r="Q101" s="264"/>
    </row>
    <row r="102" spans="1:17">
      <c r="Q102" s="264"/>
    </row>
    <row r="103" spans="1:17">
      <c r="Q103" s="264"/>
    </row>
    <row r="104" spans="1:17">
      <c r="Q104" s="264"/>
    </row>
    <row r="117" spans="1:13" ht="18.75">
      <c r="A117" s="272" t="s">
        <v>286</v>
      </c>
      <c r="B117" s="272"/>
      <c r="C117" s="272"/>
      <c r="D117" s="272"/>
      <c r="E117" s="272"/>
      <c r="L117" t="s">
        <v>292</v>
      </c>
    </row>
    <row r="118" spans="1:13"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</row>
    <row r="119" spans="1:13">
      <c r="A119" t="s">
        <v>284</v>
      </c>
      <c r="B119" s="264">
        <f>(+INDICADORES!D171)/1000</f>
        <v>6.8970000000000002</v>
      </c>
      <c r="C119" s="264">
        <f>(+INDICADORES!E171)/1000</f>
        <v>6.9059999999999997</v>
      </c>
      <c r="D119" s="264">
        <f>(+INDICADORES!F171)/1000</f>
        <v>6.92</v>
      </c>
      <c r="E119" s="264">
        <f>(+INDICADORES!G171)/1000</f>
        <v>6.9279999999999999</v>
      </c>
      <c r="F119" s="264">
        <f>(+INDICADORES!H171)/1000</f>
        <v>7.1870000000000003</v>
      </c>
      <c r="G119" s="264">
        <f>(+INDICADORES!I171)/1000</f>
        <v>7.2</v>
      </c>
      <c r="H119" s="264">
        <f>(+INDICADORES!J171)/1000</f>
        <v>7.2030000000000003</v>
      </c>
      <c r="I119" s="264">
        <f>(+INDICADORES!K171)/1000</f>
        <v>7.21</v>
      </c>
      <c r="J119" s="264">
        <f>(+INDICADORES!L171)/1000</f>
        <v>7.22</v>
      </c>
      <c r="K119" s="264">
        <f>(+INDICADORES!M171)/1000</f>
        <v>7.234</v>
      </c>
      <c r="L119" s="264">
        <f>(+INDICADORES!N171)/1000</f>
        <v>7.2329999999999997</v>
      </c>
      <c r="M119" s="264">
        <f>(+INDICADORES!O171)/1000</f>
        <v>7.2389999999999999</v>
      </c>
    </row>
    <row r="120" spans="1:13">
      <c r="A120" t="s">
        <v>282</v>
      </c>
      <c r="B120" s="264">
        <f>(+INDICADORES!D172)/1000</f>
        <v>6.8970000000000002</v>
      </c>
      <c r="C120" s="264">
        <f>(+INDICADORES!E172)/1000</f>
        <v>6.9059999999999997</v>
      </c>
      <c r="D120" s="264">
        <f>(+INDICADORES!F172)/1000</f>
        <v>6.92</v>
      </c>
      <c r="E120" s="264">
        <f>(+INDICADORES!G172)/1000</f>
        <v>6.9279999999999999</v>
      </c>
      <c r="F120" s="264">
        <f>(+INDICADORES!H172)/1000</f>
        <v>7.1870000000000003</v>
      </c>
      <c r="G120" s="264">
        <f>(+INDICADORES!I172)/1000</f>
        <v>7.2</v>
      </c>
      <c r="H120" s="264">
        <f>(+INDICADORES!J172)/1000</f>
        <v>7.2030000000000003</v>
      </c>
      <c r="I120" s="264">
        <f>(+INDICADORES!K172)/1000</f>
        <v>7.21</v>
      </c>
      <c r="J120" s="264">
        <f>(+INDICADORES!L172)/1000</f>
        <v>7.22</v>
      </c>
      <c r="K120" s="264">
        <f>(+INDICADORES!M172)/1000</f>
        <v>7.234</v>
      </c>
      <c r="L120" s="264">
        <f>(+INDICADORES!N172)/1000</f>
        <v>7.2329999999999997</v>
      </c>
      <c r="M120" s="264">
        <f>(+INDICADORES!O172)/1000</f>
        <v>7.25</v>
      </c>
    </row>
    <row r="121" spans="1:13">
      <c r="A121" t="s">
        <v>283</v>
      </c>
      <c r="B121" s="264">
        <f>(+INDICADORES!D169)/1000</f>
        <v>6.8970000000000002</v>
      </c>
      <c r="C121" s="264">
        <f>(+INDICADORES!E169)/1000</f>
        <v>6.9059999999999997</v>
      </c>
      <c r="D121" s="264">
        <f>(+INDICADORES!F169)/1000</f>
        <v>6.92</v>
      </c>
      <c r="E121" s="264">
        <f>(+INDICADORES!G169)/1000</f>
        <v>6.9279999999999999</v>
      </c>
      <c r="F121" s="264">
        <f>(+INDICADORES!H169)/1000</f>
        <v>7.1870000000000003</v>
      </c>
      <c r="G121" s="264">
        <f>(+INDICADORES!I169)/1000</f>
        <v>7.2</v>
      </c>
      <c r="H121" s="264">
        <f>(+INDICADORES!J169)/1000</f>
        <v>7.2030000000000003</v>
      </c>
      <c r="I121" s="264">
        <f>(+INDICADORES!K169)/1000</f>
        <v>7.21</v>
      </c>
      <c r="J121" s="264">
        <f>(+INDICADORES!L169)/1000</f>
        <v>7.22</v>
      </c>
      <c r="K121" s="264">
        <f>(+INDICADORES!M169)/1000</f>
        <v>7.234</v>
      </c>
      <c r="L121" s="264">
        <f>(+INDICADORES!N169)/1000</f>
        <v>7.2329999999999997</v>
      </c>
      <c r="M121" s="264">
        <f>(+INDICADORES!O169)/1000</f>
        <v>7.25</v>
      </c>
    </row>
    <row r="122" spans="1:13">
      <c r="B122" s="264"/>
      <c r="C122" s="264"/>
      <c r="D122" s="264"/>
      <c r="E122" s="264"/>
      <c r="F122" s="264"/>
      <c r="G122" s="264"/>
      <c r="H122" s="264"/>
      <c r="I122" s="264"/>
      <c r="J122" s="264" t="s">
        <v>292</v>
      </c>
      <c r="K122" s="264"/>
      <c r="L122" s="264"/>
      <c r="M122" s="264"/>
    </row>
    <row r="123" spans="1:13"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</row>
    <row r="143" spans="1:13" ht="18.75">
      <c r="A143" s="272" t="s">
        <v>285</v>
      </c>
      <c r="B143" s="272"/>
      <c r="C143" s="272"/>
      <c r="D143" s="272"/>
      <c r="E143" s="271"/>
    </row>
    <row r="144" spans="1:13">
      <c r="B144" t="s">
        <v>2</v>
      </c>
      <c r="C144" t="s">
        <v>3</v>
      </c>
      <c r="D144" t="s">
        <v>4</v>
      </c>
      <c r="E144" t="s">
        <v>5</v>
      </c>
      <c r="F144" t="s">
        <v>6</v>
      </c>
      <c r="G144" t="s">
        <v>7</v>
      </c>
      <c r="H144" t="s">
        <v>8</v>
      </c>
      <c r="I144" t="s">
        <v>9</v>
      </c>
      <c r="J144" t="s">
        <v>10</v>
      </c>
      <c r="K144" t="s">
        <v>11</v>
      </c>
      <c r="L144" t="s">
        <v>12</v>
      </c>
      <c r="M144" t="s">
        <v>13</v>
      </c>
    </row>
    <row r="145" spans="1:13">
      <c r="A145" t="s">
        <v>287</v>
      </c>
      <c r="B145" s="267">
        <f>+INDICADORES!D214</f>
        <v>3.6247643903146294</v>
      </c>
      <c r="C145" s="267">
        <f>+INDICADORES!E214</f>
        <v>3.6200405444540982</v>
      </c>
      <c r="D145" s="267">
        <f>+INDICADORES!F214</f>
        <v>3.6127167630057806</v>
      </c>
      <c r="E145" s="267">
        <f>+INDICADORES!G214</f>
        <v>3.6085450346420322</v>
      </c>
      <c r="F145" s="267">
        <f>+INDICADORES!H214</f>
        <v>3.4785028523723387</v>
      </c>
      <c r="G145" s="267">
        <f>+INDICADORES!I214</f>
        <v>3.4722222222222223</v>
      </c>
      <c r="H145" s="267">
        <f>+INDICADORES!J214</f>
        <v>3.6096071081493819</v>
      </c>
      <c r="I145" s="267">
        <f>+INDICADORES!K214</f>
        <v>3.606102635228849</v>
      </c>
      <c r="J145" s="267">
        <f>+INDICADORES!L214</f>
        <v>3.6011080332409975</v>
      </c>
      <c r="K145" s="267">
        <f>+INDICADORES!M214</f>
        <v>3.5941387890517005</v>
      </c>
      <c r="L145" s="267">
        <f>+INDICADORES!N214</f>
        <v>3.5946356974975808</v>
      </c>
      <c r="M145" s="267">
        <f>+INDICADORES!O214</f>
        <v>3.59165630611963</v>
      </c>
    </row>
    <row r="146" spans="1:13">
      <c r="A146" t="s">
        <v>272</v>
      </c>
      <c r="B146">
        <v>1.68</v>
      </c>
      <c r="C146">
        <v>1.68</v>
      </c>
      <c r="D146">
        <v>1.68</v>
      </c>
      <c r="E146">
        <v>1.68</v>
      </c>
      <c r="F146">
        <v>1.68</v>
      </c>
      <c r="G146">
        <v>1.68</v>
      </c>
      <c r="H146">
        <v>1.68</v>
      </c>
      <c r="I146">
        <v>1.68</v>
      </c>
      <c r="J146">
        <v>1.68</v>
      </c>
      <c r="K146">
        <v>1.68</v>
      </c>
      <c r="L146">
        <v>1.68</v>
      </c>
      <c r="M146">
        <v>1.68</v>
      </c>
    </row>
    <row r="173" spans="1:13" ht="18.75">
      <c r="A173" s="272" t="s">
        <v>288</v>
      </c>
      <c r="B173" s="272"/>
      <c r="C173" s="272"/>
      <c r="D173" s="272"/>
      <c r="E173" s="272"/>
    </row>
    <row r="174" spans="1:13">
      <c r="B174" t="s">
        <v>2</v>
      </c>
      <c r="C174" t="s">
        <v>3</v>
      </c>
      <c r="D174" t="s">
        <v>4</v>
      </c>
      <c r="E174" t="s">
        <v>5</v>
      </c>
      <c r="F174" t="s">
        <v>6</v>
      </c>
      <c r="G174" t="s">
        <v>7</v>
      </c>
      <c r="H174" t="s">
        <v>8</v>
      </c>
      <c r="I174" t="s">
        <v>9</v>
      </c>
      <c r="J174" t="s">
        <v>10</v>
      </c>
      <c r="K174" t="s">
        <v>11</v>
      </c>
      <c r="L174" t="s">
        <v>12</v>
      </c>
      <c r="M174" t="s">
        <v>13</v>
      </c>
    </row>
    <row r="175" spans="1:13" ht="17.25">
      <c r="A175" t="s">
        <v>289</v>
      </c>
      <c r="B175" s="266">
        <f>+INDICADORES!D157</f>
        <v>1.1607481029686419</v>
      </c>
      <c r="C175" s="266">
        <f>+INDICADORES!E157</f>
        <v>1.3966983239418351</v>
      </c>
      <c r="D175" s="266">
        <f>+INDICADORES!F157</f>
        <v>1.1262910441141061</v>
      </c>
      <c r="E175" s="266">
        <f>+INDICADORES!G157</f>
        <v>1.2179312513099978</v>
      </c>
      <c r="F175" s="266">
        <f>+INDICADORES!H157</f>
        <v>0.79179808703233578</v>
      </c>
      <c r="G175" s="266">
        <f>+INDICADORES!I157</f>
        <v>1.224557712764377</v>
      </c>
      <c r="H175" s="266">
        <f>+INDICADORES!J157</f>
        <v>1.6788944682252223</v>
      </c>
      <c r="I175" s="266">
        <f>+INDICADORES!K157</f>
        <v>2.0768589103485229</v>
      </c>
      <c r="J175" s="266">
        <f>+INDICADORES!L157</f>
        <v>1.0003602920261685</v>
      </c>
      <c r="K175" s="266">
        <f>+INDICADORES!M157</f>
        <v>1.1558462641540064</v>
      </c>
      <c r="L175" s="266">
        <f>+INDICADORES!N157</f>
        <v>0</v>
      </c>
      <c r="M175" s="266">
        <f>+INDICADORES!O157</f>
        <v>0</v>
      </c>
    </row>
    <row r="176" spans="1:13">
      <c r="A176" t="s">
        <v>290</v>
      </c>
      <c r="B176" s="266">
        <f>+INDICADORES!D161</f>
        <v>2.349450142751401</v>
      </c>
      <c r="C176" s="266">
        <f>+INDICADORES!E161</f>
        <v>2.5682164482662673</v>
      </c>
      <c r="D176" s="266">
        <f>+INDICADORES!F161</f>
        <v>2.695617227782833</v>
      </c>
      <c r="E176" s="266">
        <f>+INDICADORES!G161</f>
        <v>2.6477565608669029</v>
      </c>
      <c r="F176" s="266">
        <f>+INDICADORES!H161</f>
        <v>1.5408251100936887</v>
      </c>
      <c r="G176" s="266">
        <f>+INDICADORES!I161</f>
        <v>2.5600377681976867</v>
      </c>
      <c r="H176" s="266">
        <f>+INDICADORES!J161</f>
        <v>4.7080355493998152</v>
      </c>
      <c r="I176" s="266">
        <f>+INDICADORES!K161</f>
        <v>3.4159030594361823</v>
      </c>
      <c r="J176" s="266">
        <f>+INDICADORES!L161</f>
        <v>2.2726058674018867</v>
      </c>
      <c r="K176" s="266">
        <f>+INDICADORES!M161</f>
        <v>2.190125861936377</v>
      </c>
      <c r="L176" s="266" t="e">
        <f>+INDICADORES!N161</f>
        <v>#DIV/0!</v>
      </c>
      <c r="M176" s="266" t="e">
        <f>+INDICADORES!O161</f>
        <v>#DIV/0!</v>
      </c>
    </row>
    <row r="177" spans="1:13" ht="17.25">
      <c r="A177" t="s">
        <v>291</v>
      </c>
      <c r="B177" s="266">
        <f>+INDICADORES!D160</f>
        <v>0.49405096190264736</v>
      </c>
      <c r="C177" s="266">
        <f>+INDICADORES!E160</f>
        <v>0.54383980169767543</v>
      </c>
      <c r="D177" s="266">
        <f>+INDICADORES!F160</f>
        <v>0.41782306200813596</v>
      </c>
      <c r="E177" s="266">
        <f>+INDICADORES!G160</f>
        <v>0.45998611402221756</v>
      </c>
      <c r="F177" s="266">
        <f>+INDICADORES!H160</f>
        <v>0.51387927276457168</v>
      </c>
      <c r="G177" s="266">
        <f>+INDICADORES!I160</f>
        <v>0.47833579956380406</v>
      </c>
      <c r="H177" s="266">
        <f>+INDICADORES!J160</f>
        <v>0.35660190977938755</v>
      </c>
      <c r="I177" s="266">
        <f>+INDICADORES!K160</f>
        <v>0.60799702866606586</v>
      </c>
      <c r="J177" s="266">
        <f>+INDICADORES!L160</f>
        <v>0.44018204228690622</v>
      </c>
      <c r="K177" s="266">
        <f>+INDICADORES!M160</f>
        <v>0.52775335164166182</v>
      </c>
      <c r="L177" s="266">
        <f>+INDICADORES!N160</f>
        <v>0</v>
      </c>
      <c r="M177" s="266">
        <f>+INDICADORES!O160</f>
        <v>0</v>
      </c>
    </row>
    <row r="199" spans="1:13" ht="21">
      <c r="A199" s="272" t="s">
        <v>298</v>
      </c>
      <c r="B199" s="272"/>
      <c r="C199" s="272"/>
      <c r="D199" s="272"/>
      <c r="E199" s="272"/>
    </row>
    <row r="200" spans="1:13"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</row>
    <row r="201" spans="1:13">
      <c r="A201" t="s">
        <v>294</v>
      </c>
      <c r="B201" s="270" t="e">
        <f>(+INDICADORES!D55+INDICADORES!D61)/(INDICADORES!D13+INDICADORES!D25)</f>
        <v>#VALUE!</v>
      </c>
      <c r="C201" s="270" t="e">
        <f>(+INDICADORES!E55+INDICADORES!E61)/(INDICADORES!E13+INDICADORES!E25)</f>
        <v>#VALUE!</v>
      </c>
      <c r="D201" s="270" t="e">
        <f>(+INDICADORES!F55+INDICADORES!F61)/(INDICADORES!F13+INDICADORES!F25)</f>
        <v>#VALUE!</v>
      </c>
      <c r="E201" s="270" t="e">
        <f>(+INDICADORES!G55+INDICADORES!G61)/(INDICADORES!G13+INDICADORES!G25)</f>
        <v>#VALUE!</v>
      </c>
      <c r="F201" s="270" t="e">
        <f>(+INDICADORES!H55+INDICADORES!H61)/(INDICADORES!H13+INDICADORES!H25)</f>
        <v>#VALUE!</v>
      </c>
      <c r="G201" s="270" t="e">
        <f>(+INDICADORES!I55+INDICADORES!I61)/(INDICADORES!I13+INDICADORES!I25)</f>
        <v>#VALUE!</v>
      </c>
      <c r="H201" s="270" t="e">
        <f>(+INDICADORES!J55+INDICADORES!J61)/(INDICADORES!J13+INDICADORES!J25)</f>
        <v>#VALUE!</v>
      </c>
      <c r="I201" s="270" t="e">
        <f>(+INDICADORES!K55+INDICADORES!K61)/(INDICADORES!K13+INDICADORES!K25)</f>
        <v>#VALUE!</v>
      </c>
      <c r="J201" s="270" t="e">
        <f>(+INDICADORES!L55+INDICADORES!L61)/(INDICADORES!L13+INDICADORES!L25)</f>
        <v>#VALUE!</v>
      </c>
      <c r="K201" s="270" t="e">
        <f>(+INDICADORES!M55+INDICADORES!M61)/(INDICADORES!M13+INDICADORES!M25)</f>
        <v>#VALUE!</v>
      </c>
      <c r="L201" s="270" t="e">
        <f>(+INDICADORES!N55+INDICADORES!N61)/(INDICADORES!N13+INDICADORES!N25)</f>
        <v>#VALUE!</v>
      </c>
      <c r="M201" s="270" t="e">
        <f>(+INDICADORES!O55+INDICADORES!O61)/(INDICADORES!O13+INDICADORES!O25)</f>
        <v>#VALUE!</v>
      </c>
    </row>
    <row r="202" spans="1:13">
      <c r="A202" t="s">
        <v>296</v>
      </c>
      <c r="B202" s="270">
        <f>(PIGOO!B21/PIGOO!B66)</f>
        <v>9.7097574673162068</v>
      </c>
      <c r="C202" s="270">
        <f>(PIGOO!C21/PIGOO!C66)</f>
        <v>12.509611970197007</v>
      </c>
      <c r="D202" s="270">
        <f>(PIGOO!D21/PIGOO!D66)</f>
        <v>14.292225538278272</v>
      </c>
      <c r="E202" s="270">
        <f>(PIGOO!E21/PIGOO!E66)</f>
        <v>10.490838136658981</v>
      </c>
      <c r="F202" s="270">
        <f>(PIGOO!F21/PIGOO!F66)</f>
        <v>7.6728036772059394</v>
      </c>
      <c r="G202" s="270">
        <f>(PIGOO!G21/PIGOO!G66)</f>
        <v>7.4521736107396919</v>
      </c>
      <c r="H202" s="270">
        <f>(PIGOO!H21/PIGOO!H66)</f>
        <v>12.03526288865892</v>
      </c>
      <c r="I202" s="270">
        <f>(PIGOO!I21/PIGOO!I66)</f>
        <v>7.1550261818358942</v>
      </c>
      <c r="J202" s="270">
        <f>(PIGOO!J21/PIGOO!J66)</f>
        <v>6.8280869757592999</v>
      </c>
      <c r="K202" s="270">
        <f>(PIGOO!K21/PIGOO!K66)</f>
        <v>11.462390995549184</v>
      </c>
      <c r="L202" s="270">
        <f>(PIGOO!L21/PIGOO!L66)</f>
        <v>10.401998153277935</v>
      </c>
      <c r="M202" s="270">
        <f>(PIGOO!M21/PIGOO!M66)</f>
        <v>11.777511216379329</v>
      </c>
    </row>
    <row r="203" spans="1:13">
      <c r="A203" t="s">
        <v>297</v>
      </c>
      <c r="B203" s="270">
        <f>((PIGOO!B21+PIGOO!B35)/PIGOO!B66)</f>
        <v>13.686549035485262</v>
      </c>
      <c r="C203" s="270">
        <f>((PIGOO!C21+PIGOO!C35)/PIGOO!C66)</f>
        <v>15.3988696335154</v>
      </c>
      <c r="D203" s="270">
        <f>((PIGOO!D21+PIGOO!D35)/PIGOO!D66)</f>
        <v>17.349136030110635</v>
      </c>
      <c r="E203" s="270">
        <f>((PIGOO!E21+PIGOO!E35)/PIGOO!E66)</f>
        <v>13.312402143156572</v>
      </c>
      <c r="F203" s="270">
        <f>((PIGOO!F21+PIGOO!F35)/PIGOO!F66)</f>
        <v>8.4363747211323954</v>
      </c>
      <c r="G203" s="270">
        <f>((PIGOO!G21+PIGOO!G35)/PIGOO!G66)</f>
        <v>7.6231457809630783</v>
      </c>
      <c r="H203" s="270">
        <f>((PIGOO!H21+PIGOO!H35)/PIGOO!H66)</f>
        <v>14.119680782256927</v>
      </c>
      <c r="I203" s="270">
        <f>((PIGOO!I21+PIGOO!I35)/PIGOO!I66)</f>
        <v>7.187878236196692</v>
      </c>
      <c r="J203" s="270">
        <f>((PIGOO!J21+PIGOO!J35)/PIGOO!J66)</f>
        <v>7.1550298663126952</v>
      </c>
      <c r="K203" s="270">
        <f>((PIGOO!K21+PIGOO!K35)/PIGOO!K66)</f>
        <v>12.12341650996361</v>
      </c>
      <c r="L203" s="270">
        <f>((PIGOO!L21+PIGOO!L35)/PIGOO!L66)</f>
        <v>10.591426592797788</v>
      </c>
      <c r="M203" s="270">
        <f>((PIGOO!M21+PIGOO!M35)/PIGOO!M66)</f>
        <v>11.777511216379329</v>
      </c>
    </row>
  </sheetData>
  <phoneticPr fontId="2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"/>
  <sheetViews>
    <sheetView workbookViewId="0">
      <selection activeCell="H17" sqref="H17"/>
    </sheetView>
  </sheetViews>
  <sheetFormatPr baseColWidth="10" defaultRowHeight="15"/>
  <cols>
    <col min="1" max="1" width="11.85546875" bestFit="1" customWidth="1"/>
  </cols>
  <sheetData>
    <row r="2" spans="1:9" ht="35.25" customHeight="1">
      <c r="A2" s="528" t="s">
        <v>300</v>
      </c>
      <c r="B2" s="528"/>
      <c r="C2" s="528"/>
      <c r="D2" s="528"/>
      <c r="E2" s="528"/>
      <c r="F2" s="528"/>
      <c r="G2" s="528"/>
      <c r="H2" s="528"/>
      <c r="I2" s="528"/>
    </row>
    <row r="3" spans="1:9" ht="24.75" customHeight="1">
      <c r="A3" s="528" t="s">
        <v>301</v>
      </c>
      <c r="B3" s="528"/>
      <c r="C3" s="528"/>
      <c r="D3" s="528"/>
      <c r="E3" s="528"/>
      <c r="F3" s="528"/>
      <c r="G3" s="528"/>
      <c r="H3" s="528"/>
      <c r="I3" s="528"/>
    </row>
    <row r="4" spans="1:9" ht="72.75" customHeight="1">
      <c r="A4" s="528" t="s">
        <v>302</v>
      </c>
      <c r="B4" s="528"/>
      <c r="C4" s="528"/>
      <c r="D4" s="528"/>
      <c r="E4" s="528"/>
      <c r="F4" s="528"/>
      <c r="G4" s="528"/>
      <c r="H4" s="528"/>
      <c r="I4" s="528"/>
    </row>
    <row r="5" spans="1:9" ht="41.25" customHeight="1">
      <c r="A5" s="528" t="s">
        <v>303</v>
      </c>
      <c r="B5" s="528"/>
      <c r="C5" s="528"/>
      <c r="D5" s="528"/>
      <c r="E5" s="528"/>
      <c r="F5" s="528"/>
      <c r="G5" s="528"/>
      <c r="H5" s="528"/>
      <c r="I5" s="528"/>
    </row>
  </sheetData>
  <mergeCells count="4">
    <mergeCell ref="A2:I2"/>
    <mergeCell ref="A3:I3"/>
    <mergeCell ref="A4:I4"/>
    <mergeCell ref="A5:I5"/>
  </mergeCells>
  <pageMargins left="0.19685039370078741" right="0.19685039370078741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PIGOO</vt:lpstr>
      <vt:lpstr>INDICADORES</vt:lpstr>
      <vt:lpstr>graficos</vt:lpstr>
      <vt:lpstr>INSTRUCTIVO</vt:lpstr>
      <vt:lpstr>INDICADORES!Área_de_impresión</vt:lpstr>
      <vt:lpstr>PIGOO!Área_de_impresión</vt:lpstr>
      <vt:lpstr>PIGOO!Títulos_a_imprimir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Esparza</dc:creator>
  <cp:lastModifiedBy>JMAS</cp:lastModifiedBy>
  <cp:lastPrinted>2022-02-03T19:04:20Z</cp:lastPrinted>
  <dcterms:created xsi:type="dcterms:W3CDTF">2018-04-02T17:47:44Z</dcterms:created>
  <dcterms:modified xsi:type="dcterms:W3CDTF">2022-02-03T19:05:39Z</dcterms:modified>
</cp:coreProperties>
</file>